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lasciciel\Desktop\KamillaBR\zarząd 130\"/>
    </mc:Choice>
  </mc:AlternateContent>
  <xr:revisionPtr revIDLastSave="0" documentId="13_ncr:1_{7F94F5C9-402D-49E0-9EAC-D33B49084FE2}" xr6:coauthVersionLast="47" xr6:coauthVersionMax="47" xr10:uidLastSave="{00000000-0000-0000-0000-000000000000}"/>
  <bookViews>
    <workbookView xWindow="-120" yWindow="-120" windowWidth="25440" windowHeight="15390" tabRatio="809" firstSheet="3" activeTab="6" xr2:uid="{00000000-000D-0000-FFFF-FFFF00000000}"/>
  </bookViews>
  <sheets>
    <sheet name="definicja" sheetId="8" state="hidden" r:id="rId1"/>
    <sheet name="DaneZrodlowe" sheetId="9" state="hidden" r:id="rId2"/>
    <sheet name="DaneZrodloweDoWsk" sheetId="15" state="hidden" r:id="rId3"/>
    <sheet name="Instrukcja" sheetId="30" r:id="rId4"/>
    <sheet name="WPF_bazowy" sheetId="12" r:id="rId5"/>
    <sheet name="rysunki" sheetId="14" r:id="rId6"/>
    <sheet name="WPF_Analiza" sheetId="16" r:id="rId7"/>
    <sheet name="Symulacja" sheetId="17" r:id="rId8"/>
    <sheet name="ObliczSrednie" sheetId="33" state="hidden" r:id="rId9"/>
    <sheet name="Opis zmian" sheetId="32" r:id="rId10"/>
  </sheets>
  <definedNames>
    <definedName name="_xlnm._FilterDatabase" localSheetId="1" hidden="1">DaneZrodlowe!$A$6:$Q$7</definedName>
    <definedName name="_xlnm._FilterDatabase" localSheetId="2" hidden="1">DaneZrodloweDoWsk!$A$3:$W$4</definedName>
    <definedName name="_xlnm._FilterDatabase" localSheetId="6" hidden="1">WPF_Analiza!$C$9:$BA$116</definedName>
    <definedName name="_xlnm._FilterDatabase" localSheetId="4" hidden="1">WPF_bazowy!$A$9:$B$9</definedName>
    <definedName name="do_importu">WPF_Analiza!$C$9:$BA$116</definedName>
    <definedName name="IdRozp">DaneZrodlowe!$N$3</definedName>
    <definedName name="_xlnm.Print_Area" localSheetId="3">Instrukcja!$B$1:$D$9</definedName>
    <definedName name="_xlnm.Print_Area" localSheetId="7">Symulacja!$J$2:$AQ$69</definedName>
    <definedName name="_xlnm.Print_Area" localSheetId="6">WPF_Analiza!$J$10:$BA$116,WPF_Analiza!$N$195:$BA$247</definedName>
    <definedName name="_xlnm.Print_Area" localSheetId="4">WPF_bazowy!$J$10:$BA$116</definedName>
    <definedName name="Ostatni_rok_analizy">WPF_Analiza!$Q$1</definedName>
    <definedName name="RokBazowy">DaneZrodlowe!$N$1</definedName>
    <definedName name="RokMaxProg">DaneZrodlowe!$N$2</definedName>
    <definedName name="Srednia">DaneZrodlowe!$N$4</definedName>
    <definedName name="_xlnm.Print_Titles" localSheetId="7">Symulacja!$D:$E</definedName>
    <definedName name="_xlnm.Print_Titles" localSheetId="6">WPF_Analiza!$C:$E,WPF_Analiza!$8:$9</definedName>
    <definedName name="_xlnm.Print_Titles" localSheetId="4">WPF_bazowy!$C:$E,WPF_bazowy!$8:$9</definedName>
    <definedName name="ver_raportu">WPF_bazowy!$N$3</definedName>
    <definedName name="Z_9360F695_77C0_4418_82C5_829A762C44E9_.wvu.Cols" localSheetId="6" hidden="1">WPF_Analiza!$A:$A,WPF_Analiza!$D:$D</definedName>
    <definedName name="Z_9360F695_77C0_4418_82C5_829A762C44E9_.wvu.Cols" localSheetId="4" hidden="1">WPF_bazowy!$A:$A,WPF_bazowy!$D:$D</definedName>
    <definedName name="Z_9360F695_77C0_4418_82C5_829A762C44E9_.wvu.FilterData" localSheetId="6" hidden="1">WPF_Analiza!$A$9:$A$116</definedName>
    <definedName name="Z_9360F695_77C0_4418_82C5_829A762C44E9_.wvu.FilterData" localSheetId="4" hidden="1">WPF_bazowy!$A$9:$A$116</definedName>
    <definedName name="Z_9360F695_77C0_4418_82C5_829A762C44E9_.wvu.PrintArea" localSheetId="6" hidden="1">WPF_Analiza!$C$8:$BA$116</definedName>
    <definedName name="Z_9360F695_77C0_4418_82C5_829A762C44E9_.wvu.PrintArea" localSheetId="4" hidden="1">WPF_bazowy!$C$8:$BA$116</definedName>
    <definedName name="Z_9360F695_77C0_4418_82C5_829A762C44E9_.wvu.PrintTitles" localSheetId="6" hidden="1">WPF_Analiza!$C:$E,WPF_Analiza!$8:$9</definedName>
    <definedName name="Z_9360F695_77C0_4418_82C5_829A762C44E9_.wvu.PrintTitles" localSheetId="4" hidden="1">WPF_bazowy!$C:$E,WPF_bazowy!$8:$9</definedName>
  </definedNames>
  <calcPr calcId="181029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BA116" i="12" l="1"/>
  <c r="AZ116" i="12"/>
  <c r="AY116" i="12"/>
  <c r="AX116" i="12"/>
  <c r="AW116" i="12"/>
  <c r="AV116" i="12"/>
  <c r="AU116" i="12"/>
  <c r="AT116" i="12"/>
  <c r="AS116" i="12"/>
  <c r="AR116" i="12"/>
  <c r="AQ116" i="12"/>
  <c r="AP116" i="12"/>
  <c r="AO116" i="12"/>
  <c r="AN116" i="12"/>
  <c r="AM116" i="12"/>
  <c r="AL116" i="12"/>
  <c r="AK116" i="12"/>
  <c r="AJ116" i="12"/>
  <c r="AI116" i="12"/>
  <c r="AH116" i="12"/>
  <c r="AG116" i="12"/>
  <c r="AF116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BA115" i="12"/>
  <c r="AZ115" i="12"/>
  <c r="AY115" i="12"/>
  <c r="AX115" i="12"/>
  <c r="AW115" i="12"/>
  <c r="AV115" i="12"/>
  <c r="AU115" i="12"/>
  <c r="AT115" i="12"/>
  <c r="AS115" i="12"/>
  <c r="AR115" i="12"/>
  <c r="AQ115" i="12"/>
  <c r="AP115" i="12"/>
  <c r="AO115" i="12"/>
  <c r="AN115" i="12"/>
  <c r="AM115" i="12"/>
  <c r="AL115" i="12"/>
  <c r="AK115" i="12"/>
  <c r="AJ115" i="12"/>
  <c r="AI115" i="12"/>
  <c r="AH115" i="12"/>
  <c r="AG115" i="12"/>
  <c r="AF115" i="12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R115" i="12"/>
  <c r="Q115" i="12"/>
  <c r="P115" i="12"/>
  <c r="O115" i="12"/>
  <c r="N115" i="12"/>
  <c r="BA114" i="12"/>
  <c r="AZ114" i="12"/>
  <c r="AY114" i="12"/>
  <c r="AX114" i="12"/>
  <c r="AW114" i="12"/>
  <c r="AV114" i="12"/>
  <c r="AU114" i="12"/>
  <c r="AT114" i="12"/>
  <c r="AS114" i="12"/>
  <c r="AR114" i="12"/>
  <c r="AQ114" i="12"/>
  <c r="AP114" i="12"/>
  <c r="AO114" i="12"/>
  <c r="AN114" i="12"/>
  <c r="AM114" i="12"/>
  <c r="AL114" i="12"/>
  <c r="AK114" i="12"/>
  <c r="AJ114" i="12"/>
  <c r="AI114" i="12"/>
  <c r="AH114" i="12"/>
  <c r="AG114" i="12"/>
  <c r="AF114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BA112" i="12"/>
  <c r="AZ112" i="12"/>
  <c r="AY112" i="12"/>
  <c r="AX112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F112" i="16" s="1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N111" i="16" s="1"/>
  <c r="M111" i="12"/>
  <c r="L111" i="12"/>
  <c r="K111" i="12"/>
  <c r="J111" i="12"/>
  <c r="I111" i="12"/>
  <c r="H111" i="12"/>
  <c r="G111" i="12"/>
  <c r="F111" i="12"/>
  <c r="BA110" i="12"/>
  <c r="AZ110" i="12"/>
  <c r="AY110" i="12"/>
  <c r="AX110" i="12"/>
  <c r="AW110" i="12"/>
  <c r="AV110" i="12"/>
  <c r="AU110" i="12"/>
  <c r="AT110" i="12"/>
  <c r="AS110" i="12"/>
  <c r="AR110" i="12"/>
  <c r="AQ110" i="12"/>
  <c r="AP110" i="12"/>
  <c r="AO110" i="12"/>
  <c r="AN110" i="12"/>
  <c r="AM110" i="12"/>
  <c r="AL110" i="12"/>
  <c r="AK110" i="12"/>
  <c r="AJ110" i="12"/>
  <c r="AI110" i="12"/>
  <c r="AH110" i="12"/>
  <c r="AG110" i="12"/>
  <c r="AF110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R110" i="12"/>
  <c r="Q110" i="12"/>
  <c r="P110" i="12"/>
  <c r="O110" i="12"/>
  <c r="N110" i="12"/>
  <c r="N110" i="16" s="1"/>
  <c r="M110" i="12"/>
  <c r="L110" i="12"/>
  <c r="K110" i="12"/>
  <c r="J110" i="12"/>
  <c r="I110" i="12"/>
  <c r="H110" i="12"/>
  <c r="G110" i="12"/>
  <c r="F110" i="12"/>
  <c r="F110" i="16" s="1"/>
  <c r="BA108" i="12"/>
  <c r="AZ108" i="12"/>
  <c r="AY108" i="12"/>
  <c r="AX108" i="12"/>
  <c r="AX108" i="16" s="1"/>
  <c r="AW108" i="12"/>
  <c r="AV108" i="12"/>
  <c r="AU108" i="12"/>
  <c r="AT108" i="12"/>
  <c r="AT108" i="16" s="1"/>
  <c r="AS108" i="12"/>
  <c r="AR108" i="12"/>
  <c r="AR108" i="16" s="1"/>
  <c r="AQ108" i="12"/>
  <c r="AP108" i="12"/>
  <c r="AO108" i="12"/>
  <c r="AN108" i="12"/>
  <c r="AM108" i="12"/>
  <c r="AM108" i="16" s="1"/>
  <c r="AL108" i="12"/>
  <c r="AK108" i="12"/>
  <c r="AJ108" i="12"/>
  <c r="AI108" i="12"/>
  <c r="AH108" i="12"/>
  <c r="AH108" i="16" s="1"/>
  <c r="AG108" i="12"/>
  <c r="AF108" i="12"/>
  <c r="AE108" i="12"/>
  <c r="AD108" i="12"/>
  <c r="AD108" i="16" s="1"/>
  <c r="AC108" i="12"/>
  <c r="AB108" i="12"/>
  <c r="AA108" i="12"/>
  <c r="Z108" i="12"/>
  <c r="Z108" i="16" s="1"/>
  <c r="Y108" i="12"/>
  <c r="X108" i="12"/>
  <c r="W108" i="12"/>
  <c r="V108" i="12"/>
  <c r="V108" i="16" s="1"/>
  <c r="U108" i="12"/>
  <c r="T108" i="12"/>
  <c r="S108" i="12"/>
  <c r="R108" i="12"/>
  <c r="R108" i="16" s="1"/>
  <c r="Q108" i="12"/>
  <c r="P108" i="12"/>
  <c r="O108" i="12"/>
  <c r="N108" i="12"/>
  <c r="N108" i="16" s="1"/>
  <c r="M108" i="12"/>
  <c r="L108" i="12"/>
  <c r="K108" i="12"/>
  <c r="J108" i="12"/>
  <c r="I108" i="12"/>
  <c r="H108" i="12"/>
  <c r="G108" i="12"/>
  <c r="F108" i="12"/>
  <c r="BA107" i="12"/>
  <c r="AZ107" i="12"/>
  <c r="AY107" i="12"/>
  <c r="AX107" i="12"/>
  <c r="AW107" i="12"/>
  <c r="AV107" i="12"/>
  <c r="AU107" i="12"/>
  <c r="AT107" i="12"/>
  <c r="AS107" i="12"/>
  <c r="AR107" i="12"/>
  <c r="AQ107" i="12"/>
  <c r="AP107" i="12"/>
  <c r="AO107" i="12"/>
  <c r="AN107" i="12"/>
  <c r="AM107" i="12"/>
  <c r="AL107" i="12"/>
  <c r="AL107" i="16" s="1"/>
  <c r="AK107" i="12"/>
  <c r="AJ107" i="12"/>
  <c r="AI107" i="12"/>
  <c r="AH107" i="12"/>
  <c r="AH107" i="16" s="1"/>
  <c r="AG107" i="12"/>
  <c r="AF107" i="12"/>
  <c r="AE107" i="12"/>
  <c r="AD107" i="12"/>
  <c r="AC107" i="12"/>
  <c r="AB107" i="12"/>
  <c r="AA107" i="12"/>
  <c r="Z107" i="12"/>
  <c r="Y107" i="12"/>
  <c r="X107" i="12"/>
  <c r="W107" i="12"/>
  <c r="V107" i="12"/>
  <c r="U107" i="12"/>
  <c r="T107" i="12"/>
  <c r="T107" i="16" s="1"/>
  <c r="S107" i="12"/>
  <c r="R107" i="12"/>
  <c r="R107" i="16" s="1"/>
  <c r="Q107" i="12"/>
  <c r="P107" i="12"/>
  <c r="O107" i="12"/>
  <c r="N107" i="12"/>
  <c r="N107" i="16" s="1"/>
  <c r="M107" i="12"/>
  <c r="L107" i="12"/>
  <c r="K107" i="12"/>
  <c r="J107" i="12"/>
  <c r="J107" i="16" s="1"/>
  <c r="I107" i="12"/>
  <c r="H107" i="12"/>
  <c r="G107" i="12"/>
  <c r="F107" i="12"/>
  <c r="F107" i="16" s="1"/>
  <c r="BA106" i="12"/>
  <c r="AZ106" i="12"/>
  <c r="AY106" i="12"/>
  <c r="AX106" i="12"/>
  <c r="AX106" i="16" s="1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D106" i="16" s="1"/>
  <c r="AC106" i="12"/>
  <c r="AB106" i="12"/>
  <c r="AA106" i="12"/>
  <c r="Z106" i="12"/>
  <c r="Y106" i="12"/>
  <c r="X106" i="12"/>
  <c r="W106" i="12"/>
  <c r="V106" i="12"/>
  <c r="V106" i="16" s="1"/>
  <c r="U106" i="12"/>
  <c r="T106" i="12"/>
  <c r="S106" i="12"/>
  <c r="R106" i="12"/>
  <c r="R106" i="16" s="1"/>
  <c r="Q106" i="12"/>
  <c r="P106" i="12"/>
  <c r="O106" i="12"/>
  <c r="O106" i="16" s="1"/>
  <c r="N106" i="12"/>
  <c r="N106" i="16" s="1"/>
  <c r="M106" i="12"/>
  <c r="L106" i="12"/>
  <c r="K106" i="12"/>
  <c r="J106" i="12"/>
  <c r="I106" i="12"/>
  <c r="H106" i="12"/>
  <c r="G106" i="12"/>
  <c r="F106" i="12"/>
  <c r="BA105" i="12"/>
  <c r="AZ105" i="12"/>
  <c r="AY105" i="12"/>
  <c r="AX105" i="12"/>
  <c r="AX105" i="16" s="1"/>
  <c r="AW105" i="12"/>
  <c r="AV105" i="12"/>
  <c r="AU105" i="12"/>
  <c r="AT105" i="12"/>
  <c r="AT105" i="16" s="1"/>
  <c r="AS105" i="12"/>
  <c r="AR105" i="12"/>
  <c r="AQ105" i="12"/>
  <c r="AP105" i="12"/>
  <c r="AP105" i="16" s="1"/>
  <c r="AO105" i="12"/>
  <c r="AN105" i="12"/>
  <c r="AM105" i="12"/>
  <c r="AL105" i="12"/>
  <c r="AL105" i="16" s="1"/>
  <c r="AK105" i="12"/>
  <c r="AJ105" i="12"/>
  <c r="AI105" i="12"/>
  <c r="AH105" i="12"/>
  <c r="AH105" i="16" s="1"/>
  <c r="AG105" i="12"/>
  <c r="AF105" i="12"/>
  <c r="AE105" i="12"/>
  <c r="AD105" i="12"/>
  <c r="AD105" i="16" s="1"/>
  <c r="AC105" i="12"/>
  <c r="AB105" i="12"/>
  <c r="AA105" i="12"/>
  <c r="Z105" i="12"/>
  <c r="Z105" i="16" s="1"/>
  <c r="Y105" i="12"/>
  <c r="X105" i="12"/>
  <c r="W105" i="12"/>
  <c r="V105" i="12"/>
  <c r="U105" i="12"/>
  <c r="T105" i="12"/>
  <c r="S105" i="12"/>
  <c r="R105" i="12"/>
  <c r="R105" i="16" s="1"/>
  <c r="Q105" i="12"/>
  <c r="P105" i="12"/>
  <c r="O105" i="12"/>
  <c r="N105" i="12"/>
  <c r="N105" i="16" s="1"/>
  <c r="M105" i="12"/>
  <c r="L105" i="12"/>
  <c r="K105" i="12"/>
  <c r="J105" i="12"/>
  <c r="I105" i="12"/>
  <c r="H105" i="12"/>
  <c r="G105" i="12"/>
  <c r="F105" i="12"/>
  <c r="BA104" i="12"/>
  <c r="AZ104" i="12"/>
  <c r="AY104" i="12"/>
  <c r="AX104" i="12"/>
  <c r="AX104" i="16" s="1"/>
  <c r="AW104" i="12"/>
  <c r="AV104" i="12"/>
  <c r="AU104" i="12"/>
  <c r="AT104" i="12"/>
  <c r="AT104" i="16" s="1"/>
  <c r="AS104" i="12"/>
  <c r="AR104" i="12"/>
  <c r="AQ104" i="12"/>
  <c r="AP104" i="12"/>
  <c r="AP104" i="16" s="1"/>
  <c r="AO104" i="12"/>
  <c r="AN104" i="12"/>
  <c r="AM104" i="12"/>
  <c r="AL104" i="12"/>
  <c r="AL104" i="16" s="1"/>
  <c r="AK104" i="12"/>
  <c r="AJ104" i="12"/>
  <c r="AI104" i="12"/>
  <c r="AH104" i="12"/>
  <c r="AH104" i="16" s="1"/>
  <c r="AG104" i="12"/>
  <c r="AF104" i="12"/>
  <c r="AE104" i="12"/>
  <c r="AD104" i="12"/>
  <c r="AD104" i="16" s="1"/>
  <c r="AC104" i="12"/>
  <c r="AB104" i="12"/>
  <c r="AA104" i="12"/>
  <c r="Z104" i="12"/>
  <c r="Y104" i="12"/>
  <c r="X104" i="12"/>
  <c r="W104" i="12"/>
  <c r="V104" i="12"/>
  <c r="V104" i="16" s="1"/>
  <c r="U104" i="12"/>
  <c r="T104" i="12"/>
  <c r="S104" i="12"/>
  <c r="R104" i="12"/>
  <c r="R104" i="16" s="1"/>
  <c r="Q104" i="12"/>
  <c r="P104" i="12"/>
  <c r="O104" i="12"/>
  <c r="N104" i="12"/>
  <c r="N104" i="16" s="1"/>
  <c r="M104" i="12"/>
  <c r="L104" i="12"/>
  <c r="K104" i="12"/>
  <c r="J104" i="12"/>
  <c r="J104" i="16" s="1"/>
  <c r="I104" i="12"/>
  <c r="H104" i="12"/>
  <c r="G104" i="12"/>
  <c r="F104" i="12"/>
  <c r="F104" i="16" s="1"/>
  <c r="BA103" i="12"/>
  <c r="AZ103" i="12"/>
  <c r="AY103" i="12"/>
  <c r="AX103" i="12"/>
  <c r="AX103" i="16" s="1"/>
  <c r="AX204" i="16" s="1"/>
  <c r="AW103" i="12"/>
  <c r="AV103" i="12"/>
  <c r="AU103" i="12"/>
  <c r="AT103" i="12"/>
  <c r="AT103" i="16" s="1"/>
  <c r="AT204" i="16" s="1"/>
  <c r="AS103" i="12"/>
  <c r="AR103" i="12"/>
  <c r="AQ103" i="12"/>
  <c r="AP103" i="12"/>
  <c r="AP103" i="16" s="1"/>
  <c r="AP204" i="16" s="1"/>
  <c r="AO103" i="12"/>
  <c r="AN103" i="12"/>
  <c r="AM103" i="12"/>
  <c r="AL103" i="12"/>
  <c r="AL103" i="16" s="1"/>
  <c r="AL204" i="16" s="1"/>
  <c r="AK103" i="12"/>
  <c r="AJ103" i="12"/>
  <c r="AI103" i="12"/>
  <c r="AH103" i="12"/>
  <c r="AH103" i="16" s="1"/>
  <c r="AH204" i="16" s="1"/>
  <c r="AG103" i="12"/>
  <c r="AF103" i="12"/>
  <c r="AE103" i="12"/>
  <c r="AD103" i="12"/>
  <c r="AC103" i="12"/>
  <c r="AB103" i="12"/>
  <c r="AA103" i="12"/>
  <c r="Z103" i="12"/>
  <c r="Y103" i="12"/>
  <c r="X103" i="12"/>
  <c r="W103" i="12"/>
  <c r="V103" i="12"/>
  <c r="V103" i="16" s="1"/>
  <c r="V204" i="16" s="1"/>
  <c r="U103" i="12"/>
  <c r="T103" i="12"/>
  <c r="S103" i="12"/>
  <c r="R103" i="12"/>
  <c r="R103" i="16" s="1"/>
  <c r="R204" i="16" s="1"/>
  <c r="Q103" i="12"/>
  <c r="P103" i="12"/>
  <c r="O103" i="12"/>
  <c r="N103" i="12"/>
  <c r="N103" i="16" s="1"/>
  <c r="N204" i="16" s="1"/>
  <c r="M103" i="12"/>
  <c r="L103" i="12"/>
  <c r="K103" i="12"/>
  <c r="J103" i="12"/>
  <c r="J103" i="16" s="1"/>
  <c r="J204" i="16" s="1"/>
  <c r="I103" i="12"/>
  <c r="H103" i="12"/>
  <c r="G103" i="12"/>
  <c r="F103" i="12"/>
  <c r="BA102" i="12"/>
  <c r="AZ102" i="12"/>
  <c r="AY102" i="12"/>
  <c r="AX102" i="12"/>
  <c r="AX102" i="16" s="1"/>
  <c r="AW102" i="12"/>
  <c r="AV102" i="12"/>
  <c r="AU102" i="12"/>
  <c r="AT102" i="12"/>
  <c r="AT102" i="16" s="1"/>
  <c r="AS102" i="12"/>
  <c r="AR102" i="12"/>
  <c r="AQ102" i="12"/>
  <c r="AP102" i="12"/>
  <c r="AO102" i="12"/>
  <c r="AN102" i="12"/>
  <c r="AM102" i="12"/>
  <c r="AL102" i="12"/>
  <c r="AK102" i="12"/>
  <c r="AJ102" i="12"/>
  <c r="AI102" i="12"/>
  <c r="AH102" i="12"/>
  <c r="AH102" i="16" s="1"/>
  <c r="AG102" i="12"/>
  <c r="AF102" i="12"/>
  <c r="AE102" i="12"/>
  <c r="AD102" i="12"/>
  <c r="AD102" i="16" s="1"/>
  <c r="AC102" i="12"/>
  <c r="AB102" i="12"/>
  <c r="AA102" i="12"/>
  <c r="Z102" i="12"/>
  <c r="Z102" i="16" s="1"/>
  <c r="Y102" i="12"/>
  <c r="X102" i="12"/>
  <c r="W102" i="12"/>
  <c r="V102" i="12"/>
  <c r="U102" i="12"/>
  <c r="T102" i="12"/>
  <c r="S102" i="12"/>
  <c r="R102" i="12"/>
  <c r="R102" i="16" s="1"/>
  <c r="Q102" i="12"/>
  <c r="P102" i="12"/>
  <c r="O102" i="12"/>
  <c r="N102" i="12"/>
  <c r="N102" i="16" s="1"/>
  <c r="M102" i="12"/>
  <c r="L102" i="12"/>
  <c r="K102" i="12"/>
  <c r="J102" i="12"/>
  <c r="I102" i="12"/>
  <c r="H102" i="12"/>
  <c r="G102" i="12"/>
  <c r="F102" i="12"/>
  <c r="F102" i="16" s="1"/>
  <c r="BA101" i="12"/>
  <c r="AZ101" i="12"/>
  <c r="AY101" i="12"/>
  <c r="AX101" i="12"/>
  <c r="AX101" i="16" s="1"/>
  <c r="AW101" i="12"/>
  <c r="AV101" i="12"/>
  <c r="AU101" i="12"/>
  <c r="AT101" i="12"/>
  <c r="AT101" i="16" s="1"/>
  <c r="AS101" i="12"/>
  <c r="AR101" i="12"/>
  <c r="AQ101" i="12"/>
  <c r="AP101" i="12"/>
  <c r="AP101" i="16" s="1"/>
  <c r="AO101" i="12"/>
  <c r="AN101" i="12"/>
  <c r="AM101" i="12"/>
  <c r="AL101" i="12"/>
  <c r="AK101" i="12"/>
  <c r="AJ101" i="12"/>
  <c r="AI101" i="12"/>
  <c r="AH101" i="12"/>
  <c r="AH101" i="16" s="1"/>
  <c r="AG101" i="12"/>
  <c r="AF101" i="12"/>
  <c r="AE101" i="12"/>
  <c r="AD101" i="12"/>
  <c r="AD101" i="16" s="1"/>
  <c r="AC101" i="12"/>
  <c r="AB101" i="12"/>
  <c r="AA101" i="12"/>
  <c r="Z101" i="12"/>
  <c r="Y101" i="12"/>
  <c r="X101" i="12"/>
  <c r="W101" i="12"/>
  <c r="V101" i="12"/>
  <c r="V101" i="16" s="1"/>
  <c r="U101" i="12"/>
  <c r="T101" i="12"/>
  <c r="S101" i="12"/>
  <c r="R101" i="12"/>
  <c r="R101" i="16" s="1"/>
  <c r="Q101" i="12"/>
  <c r="P101" i="12"/>
  <c r="O101" i="12"/>
  <c r="N101" i="12"/>
  <c r="N101" i="16" s="1"/>
  <c r="M101" i="12"/>
  <c r="L101" i="12"/>
  <c r="K101" i="12"/>
  <c r="J101" i="12"/>
  <c r="J101" i="16" s="1"/>
  <c r="I101" i="12"/>
  <c r="H101" i="12"/>
  <c r="G101" i="12"/>
  <c r="F101" i="12"/>
  <c r="BA100" i="12"/>
  <c r="AZ100" i="12"/>
  <c r="AY100" i="12"/>
  <c r="AX100" i="12"/>
  <c r="AX100" i="16" s="1"/>
  <c r="AW100" i="12"/>
  <c r="AV100" i="12"/>
  <c r="AU100" i="12"/>
  <c r="AT100" i="12"/>
  <c r="AT100" i="16" s="1"/>
  <c r="AS100" i="12"/>
  <c r="AR100" i="12"/>
  <c r="AQ100" i="12"/>
  <c r="AP100" i="12"/>
  <c r="AO100" i="12"/>
  <c r="AN100" i="12"/>
  <c r="AM100" i="12"/>
  <c r="AL100" i="12"/>
  <c r="AL100" i="16" s="1"/>
  <c r="AK100" i="12"/>
  <c r="AJ100" i="12"/>
  <c r="AI100" i="12"/>
  <c r="AH100" i="12"/>
  <c r="AH100" i="16" s="1"/>
  <c r="AG100" i="12"/>
  <c r="AF100" i="12"/>
  <c r="AE100" i="12"/>
  <c r="AD100" i="12"/>
  <c r="AD100" i="16" s="1"/>
  <c r="AC100" i="12"/>
  <c r="AB100" i="12"/>
  <c r="AA100" i="12"/>
  <c r="Z100" i="12"/>
  <c r="Z100" i="16" s="1"/>
  <c r="Y100" i="12"/>
  <c r="X100" i="12"/>
  <c r="W100" i="12"/>
  <c r="V100" i="12"/>
  <c r="U100" i="12"/>
  <c r="T100" i="12"/>
  <c r="S100" i="12"/>
  <c r="R100" i="12"/>
  <c r="R100" i="16" s="1"/>
  <c r="Q100" i="12"/>
  <c r="P100" i="12"/>
  <c r="O100" i="12"/>
  <c r="N100" i="12"/>
  <c r="N100" i="16" s="1"/>
  <c r="M100" i="12"/>
  <c r="L100" i="12"/>
  <c r="K100" i="12"/>
  <c r="J100" i="12"/>
  <c r="I100" i="12"/>
  <c r="H100" i="12"/>
  <c r="G100" i="12"/>
  <c r="F100" i="12"/>
  <c r="F100" i="16" s="1"/>
  <c r="BA99" i="12"/>
  <c r="AZ99" i="12"/>
  <c r="AY99" i="12"/>
  <c r="AX99" i="12"/>
  <c r="AX99" i="16" s="1"/>
  <c r="AW99" i="12"/>
  <c r="AV99" i="12"/>
  <c r="AU99" i="12"/>
  <c r="AU140" i="12" s="1"/>
  <c r="AT99" i="12"/>
  <c r="AT99" i="16" s="1"/>
  <c r="AS99" i="12"/>
  <c r="AR99" i="12"/>
  <c r="AQ99" i="12"/>
  <c r="AP99" i="12"/>
  <c r="AP99" i="16" s="1"/>
  <c r="AO99" i="12"/>
  <c r="AN99" i="12"/>
  <c r="AM99" i="12"/>
  <c r="AL99" i="12"/>
  <c r="AK99" i="12"/>
  <c r="AJ99" i="12"/>
  <c r="AI99" i="12"/>
  <c r="AH99" i="12"/>
  <c r="AH99" i="16" s="1"/>
  <c r="AG99" i="12"/>
  <c r="AF99" i="12"/>
  <c r="AE99" i="12"/>
  <c r="AD99" i="12"/>
  <c r="AD99" i="16" s="1"/>
  <c r="AC99" i="12"/>
  <c r="AB99" i="12"/>
  <c r="AA99" i="12"/>
  <c r="Z99" i="12"/>
  <c r="Y99" i="12"/>
  <c r="X99" i="12"/>
  <c r="W99" i="12"/>
  <c r="V99" i="12"/>
  <c r="V99" i="16" s="1"/>
  <c r="U99" i="12"/>
  <c r="T99" i="12"/>
  <c r="S99" i="12"/>
  <c r="R99" i="12"/>
  <c r="R99" i="16" s="1"/>
  <c r="Q99" i="12"/>
  <c r="P99" i="12"/>
  <c r="O99" i="12"/>
  <c r="N99" i="12"/>
  <c r="N99" i="16" s="1"/>
  <c r="M99" i="12"/>
  <c r="L99" i="12"/>
  <c r="K99" i="12"/>
  <c r="J99" i="12"/>
  <c r="J99" i="16" s="1"/>
  <c r="I99" i="12"/>
  <c r="H99" i="12"/>
  <c r="G99" i="12"/>
  <c r="F99" i="12"/>
  <c r="BA98" i="12"/>
  <c r="AZ98" i="12"/>
  <c r="AY98" i="12"/>
  <c r="AX98" i="12"/>
  <c r="AX98" i="16" s="1"/>
  <c r="AW98" i="12"/>
  <c r="AV98" i="12"/>
  <c r="AU98" i="12"/>
  <c r="AT98" i="12"/>
  <c r="AT98" i="16" s="1"/>
  <c r="AS98" i="12"/>
  <c r="AR98" i="12"/>
  <c r="AQ98" i="12"/>
  <c r="AP98" i="12"/>
  <c r="AO98" i="12"/>
  <c r="AN98" i="12"/>
  <c r="AM98" i="12"/>
  <c r="AL98" i="12"/>
  <c r="AL98" i="16" s="1"/>
  <c r="AK98" i="12"/>
  <c r="AJ98" i="12"/>
  <c r="AI98" i="12"/>
  <c r="AH98" i="12"/>
  <c r="AH98" i="16" s="1"/>
  <c r="AG98" i="12"/>
  <c r="AF98" i="12"/>
  <c r="AE98" i="12"/>
  <c r="AD98" i="12"/>
  <c r="AD98" i="16" s="1"/>
  <c r="AC98" i="12"/>
  <c r="AB98" i="12"/>
  <c r="AA98" i="12"/>
  <c r="Z98" i="12"/>
  <c r="Z98" i="16" s="1"/>
  <c r="Y98" i="12"/>
  <c r="X98" i="12"/>
  <c r="W98" i="12"/>
  <c r="V98" i="12"/>
  <c r="U98" i="12"/>
  <c r="T98" i="12"/>
  <c r="S98" i="12"/>
  <c r="R98" i="12"/>
  <c r="R98" i="16" s="1"/>
  <c r="Q98" i="12"/>
  <c r="P98" i="12"/>
  <c r="O98" i="12"/>
  <c r="N98" i="12"/>
  <c r="N98" i="16" s="1"/>
  <c r="M98" i="12"/>
  <c r="L98" i="12"/>
  <c r="K98" i="12"/>
  <c r="J98" i="12"/>
  <c r="I98" i="12"/>
  <c r="H98" i="12"/>
  <c r="G98" i="12"/>
  <c r="F98" i="12"/>
  <c r="F98" i="16" s="1"/>
  <c r="BA97" i="12"/>
  <c r="AZ97" i="12"/>
  <c r="AY97" i="12"/>
  <c r="AX97" i="12"/>
  <c r="AX97" i="16" s="1"/>
  <c r="AW97" i="12"/>
  <c r="AV97" i="12"/>
  <c r="AU97" i="12"/>
  <c r="AT97" i="12"/>
  <c r="AT97" i="16" s="1"/>
  <c r="AS97" i="12"/>
  <c r="AR97" i="12"/>
  <c r="AQ97" i="12"/>
  <c r="AP97" i="12"/>
  <c r="AP97" i="16" s="1"/>
  <c r="AO97" i="12"/>
  <c r="AN97" i="12"/>
  <c r="AM97" i="12"/>
  <c r="AL97" i="12"/>
  <c r="AK97" i="12"/>
  <c r="AJ97" i="12"/>
  <c r="AI97" i="12"/>
  <c r="AH97" i="12"/>
  <c r="AH97" i="16" s="1"/>
  <c r="AG97" i="12"/>
  <c r="AF97" i="12"/>
  <c r="AE97" i="12"/>
  <c r="AD97" i="12"/>
  <c r="AD97" i="16" s="1"/>
  <c r="AC97" i="12"/>
  <c r="AB97" i="12"/>
  <c r="AA97" i="12"/>
  <c r="Z97" i="12"/>
  <c r="Y97" i="12"/>
  <c r="X97" i="12"/>
  <c r="W97" i="12"/>
  <c r="V97" i="12"/>
  <c r="V97" i="16" s="1"/>
  <c r="U97" i="12"/>
  <c r="T97" i="12"/>
  <c r="S97" i="12"/>
  <c r="R97" i="12"/>
  <c r="R97" i="16" s="1"/>
  <c r="Q97" i="12"/>
  <c r="P97" i="12"/>
  <c r="O97" i="12"/>
  <c r="N97" i="12"/>
  <c r="N97" i="16" s="1"/>
  <c r="M97" i="12"/>
  <c r="L97" i="12"/>
  <c r="K97" i="12"/>
  <c r="J97" i="12"/>
  <c r="J97" i="16" s="1"/>
  <c r="I97" i="12"/>
  <c r="H97" i="12"/>
  <c r="G97" i="12"/>
  <c r="F97" i="12"/>
  <c r="BA96" i="12"/>
  <c r="AZ96" i="12"/>
  <c r="AY96" i="12"/>
  <c r="AX96" i="12"/>
  <c r="AX96" i="16" s="1"/>
  <c r="AW96" i="12"/>
  <c r="AV96" i="12"/>
  <c r="AU96" i="12"/>
  <c r="AT96" i="12"/>
  <c r="AT96" i="16" s="1"/>
  <c r="AS96" i="12"/>
  <c r="AR96" i="12"/>
  <c r="AQ96" i="12"/>
  <c r="AP96" i="12"/>
  <c r="AO96" i="12"/>
  <c r="AN96" i="12"/>
  <c r="AM96" i="12"/>
  <c r="AL96" i="12"/>
  <c r="AL96" i="16" s="1"/>
  <c r="AK96" i="12"/>
  <c r="AJ96" i="12"/>
  <c r="AI96" i="12"/>
  <c r="AH96" i="12"/>
  <c r="AH96" i="16" s="1"/>
  <c r="AG96" i="12"/>
  <c r="AF96" i="12"/>
  <c r="AE96" i="12"/>
  <c r="AD96" i="12"/>
  <c r="AD96" i="16" s="1"/>
  <c r="AC96" i="12"/>
  <c r="AB96" i="12"/>
  <c r="AA96" i="12"/>
  <c r="Z96" i="12"/>
  <c r="Y96" i="12"/>
  <c r="X96" i="12"/>
  <c r="W96" i="12"/>
  <c r="V96" i="12"/>
  <c r="V96" i="16" s="1"/>
  <c r="U96" i="12"/>
  <c r="T96" i="12"/>
  <c r="S96" i="12"/>
  <c r="R96" i="12"/>
  <c r="R96" i="16" s="1"/>
  <c r="Q96" i="12"/>
  <c r="P96" i="12"/>
  <c r="O96" i="12"/>
  <c r="N96" i="12"/>
  <c r="N96" i="16" s="1"/>
  <c r="M96" i="12"/>
  <c r="L96" i="12"/>
  <c r="K96" i="12"/>
  <c r="J96" i="12"/>
  <c r="I96" i="12"/>
  <c r="H96" i="12"/>
  <c r="H96" i="16" s="1"/>
  <c r="G96" i="12"/>
  <c r="F96" i="12"/>
  <c r="F96" i="16" s="1"/>
  <c r="BA95" i="12"/>
  <c r="AZ95" i="12"/>
  <c r="AY95" i="12"/>
  <c r="AX95" i="12"/>
  <c r="AX95" i="16" s="1"/>
  <c r="AW95" i="12"/>
  <c r="AV95" i="12"/>
  <c r="AU95" i="12"/>
  <c r="AT95" i="12"/>
  <c r="AT95" i="16" s="1"/>
  <c r="AS95" i="12"/>
  <c r="AR95" i="12"/>
  <c r="AQ95" i="12"/>
  <c r="AP95" i="12"/>
  <c r="AO95" i="12"/>
  <c r="AN95" i="12"/>
  <c r="AM95" i="12"/>
  <c r="AL95" i="12"/>
  <c r="AL95" i="16" s="1"/>
  <c r="AK95" i="12"/>
  <c r="AJ95" i="12"/>
  <c r="AI95" i="12"/>
  <c r="AH95" i="12"/>
  <c r="AH95" i="16" s="1"/>
  <c r="AG95" i="12"/>
  <c r="AF95" i="12"/>
  <c r="AE95" i="12"/>
  <c r="AD95" i="12"/>
  <c r="AD95" i="16" s="1"/>
  <c r="AC95" i="12"/>
  <c r="AB95" i="12"/>
  <c r="AA95" i="12"/>
  <c r="Z95" i="12"/>
  <c r="Y95" i="12"/>
  <c r="X95" i="12"/>
  <c r="W95" i="12"/>
  <c r="V95" i="12"/>
  <c r="V95" i="16" s="1"/>
  <c r="U95" i="12"/>
  <c r="T95" i="12"/>
  <c r="S95" i="12"/>
  <c r="R95" i="12"/>
  <c r="R95" i="16" s="1"/>
  <c r="Q95" i="12"/>
  <c r="P95" i="12"/>
  <c r="O95" i="12"/>
  <c r="N95" i="12"/>
  <c r="N95" i="16" s="1"/>
  <c r="M95" i="12"/>
  <c r="L95" i="12"/>
  <c r="K95" i="12"/>
  <c r="J95" i="12"/>
  <c r="I95" i="12"/>
  <c r="H95" i="12"/>
  <c r="G95" i="12"/>
  <c r="F95" i="12"/>
  <c r="F95" i="16" s="1"/>
  <c r="BA94" i="12"/>
  <c r="AZ94" i="12"/>
  <c r="AY94" i="12"/>
  <c r="AX94" i="12"/>
  <c r="AX94" i="16" s="1"/>
  <c r="AW94" i="12"/>
  <c r="AV94" i="12"/>
  <c r="AU94" i="12"/>
  <c r="AT94" i="12"/>
  <c r="AT94" i="16" s="1"/>
  <c r="AS94" i="12"/>
  <c r="AR94" i="12"/>
  <c r="AQ94" i="12"/>
  <c r="AP94" i="12"/>
  <c r="AO94" i="12"/>
  <c r="AN94" i="12"/>
  <c r="AM94" i="12"/>
  <c r="AL94" i="12"/>
  <c r="AL94" i="16" s="1"/>
  <c r="AK94" i="12"/>
  <c r="AJ94" i="12"/>
  <c r="AI94" i="12"/>
  <c r="AH94" i="12"/>
  <c r="AH94" i="16" s="1"/>
  <c r="AG94" i="12"/>
  <c r="AF94" i="12"/>
  <c r="AE94" i="12"/>
  <c r="AD94" i="12"/>
  <c r="AD94" i="16" s="1"/>
  <c r="AC94" i="12"/>
  <c r="AB94" i="12"/>
  <c r="AA94" i="12"/>
  <c r="Z94" i="12"/>
  <c r="Y94" i="12"/>
  <c r="X94" i="12"/>
  <c r="W94" i="12"/>
  <c r="V94" i="12"/>
  <c r="V94" i="16" s="1"/>
  <c r="U94" i="12"/>
  <c r="T94" i="12"/>
  <c r="S94" i="12"/>
  <c r="R94" i="12"/>
  <c r="R94" i="16" s="1"/>
  <c r="Q94" i="12"/>
  <c r="P94" i="12"/>
  <c r="O94" i="12"/>
  <c r="N94" i="12"/>
  <c r="N94" i="16" s="1"/>
  <c r="M94" i="12"/>
  <c r="L94" i="12"/>
  <c r="K94" i="12"/>
  <c r="J94" i="12"/>
  <c r="I94" i="12"/>
  <c r="H94" i="12"/>
  <c r="G94" i="12"/>
  <c r="F94" i="12"/>
  <c r="F94" i="16" s="1"/>
  <c r="BA93" i="12"/>
  <c r="AZ93" i="12"/>
  <c r="AY93" i="12"/>
  <c r="AX93" i="12"/>
  <c r="AX93" i="16" s="1"/>
  <c r="AW93" i="12"/>
  <c r="AV93" i="12"/>
  <c r="AU93" i="12"/>
  <c r="AT93" i="12"/>
  <c r="AT93" i="16" s="1"/>
  <c r="AS93" i="12"/>
  <c r="AR93" i="12"/>
  <c r="AQ93" i="12"/>
  <c r="AP93" i="12"/>
  <c r="AO93" i="12"/>
  <c r="AN93" i="12"/>
  <c r="AM93" i="12"/>
  <c r="AL93" i="12"/>
  <c r="AL93" i="16" s="1"/>
  <c r="AK93" i="12"/>
  <c r="AJ93" i="12"/>
  <c r="AI93" i="12"/>
  <c r="AH93" i="12"/>
  <c r="AH93" i="16" s="1"/>
  <c r="AG93" i="12"/>
  <c r="AF93" i="12"/>
  <c r="AE93" i="12"/>
  <c r="AD93" i="12"/>
  <c r="AD93" i="16" s="1"/>
  <c r="AC93" i="12"/>
  <c r="AB93" i="12"/>
  <c r="AA93" i="12"/>
  <c r="Z93" i="12"/>
  <c r="Y93" i="12"/>
  <c r="X93" i="12"/>
  <c r="W93" i="12"/>
  <c r="V93" i="12"/>
  <c r="V93" i="16" s="1"/>
  <c r="U93" i="12"/>
  <c r="T93" i="12"/>
  <c r="S93" i="12"/>
  <c r="R93" i="12"/>
  <c r="R93" i="16" s="1"/>
  <c r="Q93" i="12"/>
  <c r="P93" i="12"/>
  <c r="O93" i="12"/>
  <c r="N93" i="12"/>
  <c r="N93" i="16" s="1"/>
  <c r="M93" i="12"/>
  <c r="L93" i="12"/>
  <c r="K93" i="12"/>
  <c r="J93" i="12"/>
  <c r="I93" i="12"/>
  <c r="H93" i="12"/>
  <c r="G93" i="12"/>
  <c r="F93" i="12"/>
  <c r="F93" i="16" s="1"/>
  <c r="BA92" i="12"/>
  <c r="AZ92" i="12"/>
  <c r="AY92" i="12"/>
  <c r="AX92" i="12"/>
  <c r="AX92" i="16" s="1"/>
  <c r="AW92" i="12"/>
  <c r="AV92" i="12"/>
  <c r="AU92" i="12"/>
  <c r="AT92" i="12"/>
  <c r="AT92" i="16" s="1"/>
  <c r="AS92" i="12"/>
  <c r="AR92" i="12"/>
  <c r="AQ92" i="12"/>
  <c r="AP92" i="12"/>
  <c r="AO92" i="12"/>
  <c r="AN92" i="12"/>
  <c r="AM92" i="12"/>
  <c r="AL92" i="12"/>
  <c r="AL92" i="16" s="1"/>
  <c r="AK92" i="12"/>
  <c r="AJ92" i="12"/>
  <c r="AI92" i="12"/>
  <c r="AH92" i="12"/>
  <c r="AH92" i="16" s="1"/>
  <c r="AG92" i="12"/>
  <c r="AF92" i="12"/>
  <c r="AE92" i="12"/>
  <c r="AD92" i="12"/>
  <c r="AC92" i="12"/>
  <c r="AB92" i="12"/>
  <c r="AA92" i="12"/>
  <c r="Z92" i="12"/>
  <c r="Z92" i="16" s="1"/>
  <c r="Y92" i="12"/>
  <c r="X92" i="12"/>
  <c r="W92" i="12"/>
  <c r="V92" i="12"/>
  <c r="U92" i="12"/>
  <c r="T92" i="12"/>
  <c r="S92" i="12"/>
  <c r="R92" i="12"/>
  <c r="R92" i="16" s="1"/>
  <c r="Q92" i="12"/>
  <c r="P92" i="12"/>
  <c r="O92" i="12"/>
  <c r="N92" i="12"/>
  <c r="N92" i="16" s="1"/>
  <c r="M92" i="12"/>
  <c r="L92" i="12"/>
  <c r="K92" i="12"/>
  <c r="J92" i="12"/>
  <c r="J92" i="16" s="1"/>
  <c r="I92" i="12"/>
  <c r="H92" i="12"/>
  <c r="G92" i="12"/>
  <c r="F92" i="12"/>
  <c r="BA91" i="12"/>
  <c r="AZ91" i="12"/>
  <c r="AY91" i="12"/>
  <c r="AX91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J91" i="16" s="1"/>
  <c r="I91" i="12"/>
  <c r="H91" i="12"/>
  <c r="G91" i="12"/>
  <c r="F91" i="12"/>
  <c r="F91" i="16" s="1"/>
  <c r="BA89" i="12"/>
  <c r="AZ89" i="12"/>
  <c r="AY89" i="12"/>
  <c r="AX89" i="12"/>
  <c r="AX89" i="16" s="1"/>
  <c r="AW89" i="12"/>
  <c r="AV89" i="12"/>
  <c r="AU89" i="12"/>
  <c r="AT89" i="12"/>
  <c r="AS89" i="12"/>
  <c r="AR89" i="12"/>
  <c r="AQ89" i="12"/>
  <c r="AP89" i="12"/>
  <c r="AP89" i="16" s="1"/>
  <c r="AO89" i="12"/>
  <c r="AN89" i="12"/>
  <c r="AM89" i="12"/>
  <c r="AL89" i="12"/>
  <c r="AL89" i="16" s="1"/>
  <c r="AK89" i="12"/>
  <c r="AJ89" i="12"/>
  <c r="AI89" i="12"/>
  <c r="AH89" i="12"/>
  <c r="AH89" i="16" s="1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V89" i="16" s="1"/>
  <c r="U89" i="12"/>
  <c r="T89" i="12"/>
  <c r="S89" i="12"/>
  <c r="R89" i="12"/>
  <c r="R89" i="16" s="1"/>
  <c r="Q89" i="12"/>
  <c r="P89" i="12"/>
  <c r="P89" i="16" s="1"/>
  <c r="O89" i="12"/>
  <c r="N89" i="12"/>
  <c r="N89" i="16" s="1"/>
  <c r="M89" i="12"/>
  <c r="L89" i="12"/>
  <c r="K89" i="12"/>
  <c r="J89" i="12"/>
  <c r="J89" i="16" s="1"/>
  <c r="I89" i="12"/>
  <c r="H89" i="12"/>
  <c r="G89" i="12"/>
  <c r="F89" i="12"/>
  <c r="F89" i="16" s="1"/>
  <c r="BA88" i="12"/>
  <c r="AZ88" i="12"/>
  <c r="AY88" i="12"/>
  <c r="AX88" i="12"/>
  <c r="AX88" i="16" s="1"/>
  <c r="AW88" i="12"/>
  <c r="AV88" i="12"/>
  <c r="AU88" i="12"/>
  <c r="AT88" i="12"/>
  <c r="AS88" i="12"/>
  <c r="AR88" i="12"/>
  <c r="AQ88" i="12"/>
  <c r="AP88" i="12"/>
  <c r="AP88" i="16" s="1"/>
  <c r="AO88" i="12"/>
  <c r="AN88" i="12"/>
  <c r="AM88" i="12"/>
  <c r="AL88" i="12"/>
  <c r="AL88" i="16" s="1"/>
  <c r="AK88" i="12"/>
  <c r="AL290" i="12" s="1"/>
  <c r="AJ88" i="12"/>
  <c r="AI88" i="12"/>
  <c r="AH88" i="12"/>
  <c r="AH88" i="16" s="1"/>
  <c r="AG88" i="12"/>
  <c r="AF88" i="12"/>
  <c r="AE88" i="12"/>
  <c r="AD88" i="12"/>
  <c r="AD88" i="16" s="1"/>
  <c r="AC88" i="12"/>
  <c r="AB88" i="12"/>
  <c r="AA88" i="12"/>
  <c r="Z88" i="12"/>
  <c r="Z88" i="16" s="1"/>
  <c r="AA290" i="16" s="1"/>
  <c r="Y88" i="12"/>
  <c r="X88" i="12"/>
  <c r="W88" i="12"/>
  <c r="V88" i="12"/>
  <c r="V88" i="16" s="1"/>
  <c r="U88" i="12"/>
  <c r="T88" i="12"/>
  <c r="S88" i="12"/>
  <c r="R88" i="12"/>
  <c r="Q88" i="12"/>
  <c r="P88" i="12"/>
  <c r="O88" i="12"/>
  <c r="N88" i="12"/>
  <c r="N88" i="16" s="1"/>
  <c r="M88" i="12"/>
  <c r="L88" i="12"/>
  <c r="K88" i="12"/>
  <c r="J88" i="12"/>
  <c r="I88" i="12"/>
  <c r="I290" i="12" s="1"/>
  <c r="H88" i="12"/>
  <c r="G88" i="12"/>
  <c r="F88" i="12"/>
  <c r="F88" i="16" s="1"/>
  <c r="G290" i="16" s="1"/>
  <c r="BA87" i="12"/>
  <c r="AZ87" i="12"/>
  <c r="AY87" i="12"/>
  <c r="AX87" i="12"/>
  <c r="AX87" i="16" s="1"/>
  <c r="AW87" i="12"/>
  <c r="AV87" i="12"/>
  <c r="AU87" i="12"/>
  <c r="AT87" i="12"/>
  <c r="AT87" i="16" s="1"/>
  <c r="AS87" i="12"/>
  <c r="AR87" i="12"/>
  <c r="AQ87" i="12"/>
  <c r="AP87" i="12"/>
  <c r="AP87" i="16" s="1"/>
  <c r="AO87" i="12"/>
  <c r="AN87" i="12"/>
  <c r="AM87" i="12"/>
  <c r="AL87" i="12"/>
  <c r="AL87" i="16" s="1"/>
  <c r="AK87" i="12"/>
  <c r="AJ87" i="12"/>
  <c r="AI87" i="12"/>
  <c r="AH87" i="12"/>
  <c r="AH87" i="16" s="1"/>
  <c r="AG87" i="12"/>
  <c r="AF87" i="12"/>
  <c r="AE87" i="12"/>
  <c r="AD87" i="12"/>
  <c r="AC87" i="12"/>
  <c r="AB87" i="12"/>
  <c r="AA87" i="12"/>
  <c r="Z87" i="12"/>
  <c r="Z87" i="16" s="1"/>
  <c r="Y87" i="12"/>
  <c r="X87" i="12"/>
  <c r="W87" i="12"/>
  <c r="V87" i="12"/>
  <c r="V87" i="16" s="1"/>
  <c r="U87" i="12"/>
  <c r="T87" i="12"/>
  <c r="S87" i="12"/>
  <c r="R87" i="12"/>
  <c r="R87" i="16" s="1"/>
  <c r="Q87" i="12"/>
  <c r="P87" i="12"/>
  <c r="O87" i="12"/>
  <c r="N87" i="12"/>
  <c r="N87" i="16" s="1"/>
  <c r="M87" i="12"/>
  <c r="L87" i="12"/>
  <c r="K87" i="12"/>
  <c r="J87" i="12"/>
  <c r="J87" i="16" s="1"/>
  <c r="I87" i="12"/>
  <c r="H87" i="12"/>
  <c r="G87" i="12"/>
  <c r="F87" i="12"/>
  <c r="F87" i="16" s="1"/>
  <c r="G289" i="16" s="1"/>
  <c r="BA86" i="12"/>
  <c r="AZ86" i="12"/>
  <c r="AY86" i="12"/>
  <c r="AX86" i="12"/>
  <c r="AX86" i="16" s="1"/>
  <c r="AX188" i="16" s="1"/>
  <c r="AW86" i="12"/>
  <c r="AV86" i="12"/>
  <c r="AU86" i="12"/>
  <c r="AT86" i="12"/>
  <c r="AT86" i="16" s="1"/>
  <c r="AS86" i="12"/>
  <c r="AR86" i="12"/>
  <c r="AQ86" i="12"/>
  <c r="AP86" i="12"/>
  <c r="AO86" i="12"/>
  <c r="AN86" i="12"/>
  <c r="AM86" i="12"/>
  <c r="AL86" i="12"/>
  <c r="AL86" i="16" s="1"/>
  <c r="AK86" i="12"/>
  <c r="AJ86" i="12"/>
  <c r="AI86" i="12"/>
  <c r="AH86" i="12"/>
  <c r="AH86" i="16" s="1"/>
  <c r="AG86" i="12"/>
  <c r="AF86" i="12"/>
  <c r="AE86" i="12"/>
  <c r="AD86" i="12"/>
  <c r="AD86" i="16" s="1"/>
  <c r="AC86" i="12"/>
  <c r="AB86" i="12"/>
  <c r="AA86" i="12"/>
  <c r="Z86" i="12"/>
  <c r="Z86" i="16" s="1"/>
  <c r="Y86" i="12"/>
  <c r="X86" i="12"/>
  <c r="W86" i="12"/>
  <c r="V86" i="12"/>
  <c r="V86" i="16" s="1"/>
  <c r="U86" i="12"/>
  <c r="T86" i="12"/>
  <c r="S86" i="12"/>
  <c r="R86" i="12"/>
  <c r="R86" i="16" s="1"/>
  <c r="Q86" i="12"/>
  <c r="P86" i="12"/>
  <c r="O86" i="12"/>
  <c r="N86" i="12"/>
  <c r="M86" i="12"/>
  <c r="L86" i="12"/>
  <c r="K86" i="12"/>
  <c r="J86" i="12"/>
  <c r="J86" i="16" s="1"/>
  <c r="I86" i="12"/>
  <c r="H86" i="12"/>
  <c r="G86" i="12"/>
  <c r="F86" i="12"/>
  <c r="F86" i="16" s="1"/>
  <c r="BA85" i="12"/>
  <c r="AZ85" i="12"/>
  <c r="AY85" i="12"/>
  <c r="AX85" i="12"/>
  <c r="AX85" i="16" s="1"/>
  <c r="AY288" i="16" s="1"/>
  <c r="AW85" i="12"/>
  <c r="AV85" i="12"/>
  <c r="AU85" i="12"/>
  <c r="AT85" i="12"/>
  <c r="AT85" i="16" s="1"/>
  <c r="AS85" i="12"/>
  <c r="AR85" i="12"/>
  <c r="AQ85" i="12"/>
  <c r="AP85" i="12"/>
  <c r="AP85" i="16" s="1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D85" i="16" s="1"/>
  <c r="AC85" i="12"/>
  <c r="AB85" i="12"/>
  <c r="AA85" i="12"/>
  <c r="Z85" i="12"/>
  <c r="Z85" i="16" s="1"/>
  <c r="Y85" i="12"/>
  <c r="X85" i="12"/>
  <c r="W85" i="12"/>
  <c r="V85" i="12"/>
  <c r="V85" i="16" s="1"/>
  <c r="U85" i="12"/>
  <c r="T85" i="12"/>
  <c r="S85" i="12"/>
  <c r="R85" i="12"/>
  <c r="R85" i="16" s="1"/>
  <c r="Q85" i="12"/>
  <c r="P85" i="12"/>
  <c r="O85" i="12"/>
  <c r="N85" i="12"/>
  <c r="N85" i="16" s="1"/>
  <c r="M85" i="12"/>
  <c r="L85" i="12"/>
  <c r="K85" i="12"/>
  <c r="J85" i="12"/>
  <c r="J85" i="16" s="1"/>
  <c r="J288" i="16" s="1"/>
  <c r="I85" i="12"/>
  <c r="H85" i="12"/>
  <c r="G85" i="12"/>
  <c r="F85" i="12"/>
  <c r="BA84" i="12"/>
  <c r="AZ84" i="12"/>
  <c r="AY84" i="12"/>
  <c r="AX84" i="12"/>
  <c r="AX84" i="16" s="1"/>
  <c r="AW84" i="12"/>
  <c r="AV84" i="12"/>
  <c r="AU84" i="12"/>
  <c r="AT84" i="12"/>
  <c r="AT84" i="16" s="1"/>
  <c r="AS84" i="12"/>
  <c r="AS84" i="16" s="1"/>
  <c r="AR84" i="12"/>
  <c r="AQ84" i="12"/>
  <c r="AP84" i="12"/>
  <c r="AP84" i="16" s="1"/>
  <c r="AO84" i="12"/>
  <c r="AN84" i="12"/>
  <c r="AM84" i="12"/>
  <c r="AL84" i="12"/>
  <c r="AK84" i="12"/>
  <c r="AJ84" i="12"/>
  <c r="AI84" i="12"/>
  <c r="AH84" i="12"/>
  <c r="AH84" i="16" s="1"/>
  <c r="AG84" i="12"/>
  <c r="AF84" i="12"/>
  <c r="AE84" i="12"/>
  <c r="AD84" i="12"/>
  <c r="AD84" i="16" s="1"/>
  <c r="AD187" i="16" s="1"/>
  <c r="AC84" i="12"/>
  <c r="AB84" i="12"/>
  <c r="AA84" i="12"/>
  <c r="Z84" i="12"/>
  <c r="Z84" i="16" s="1"/>
  <c r="Y84" i="12"/>
  <c r="X84" i="12"/>
  <c r="W84" i="12"/>
  <c r="V84" i="12"/>
  <c r="V84" i="16" s="1"/>
  <c r="W287" i="16" s="1"/>
  <c r="U84" i="12"/>
  <c r="T84" i="12"/>
  <c r="S84" i="12"/>
  <c r="R84" i="12"/>
  <c r="R84" i="16" s="1"/>
  <c r="Q84" i="12"/>
  <c r="P84" i="12"/>
  <c r="O84" i="12"/>
  <c r="N84" i="12"/>
  <c r="N84" i="16" s="1"/>
  <c r="M84" i="12"/>
  <c r="L84" i="12"/>
  <c r="K84" i="12"/>
  <c r="J84" i="12"/>
  <c r="I84" i="12"/>
  <c r="H84" i="12"/>
  <c r="G84" i="12"/>
  <c r="F84" i="12"/>
  <c r="F84" i="16" s="1"/>
  <c r="BA83" i="12"/>
  <c r="AZ83" i="12"/>
  <c r="AY83" i="12"/>
  <c r="AX83" i="12"/>
  <c r="AX83" i="16" s="1"/>
  <c r="AW83" i="12"/>
  <c r="AV83" i="12"/>
  <c r="AU83" i="12"/>
  <c r="AT83" i="12"/>
  <c r="AT83" i="16" s="1"/>
  <c r="AS83" i="12"/>
  <c r="AR83" i="12"/>
  <c r="AQ83" i="12"/>
  <c r="AP83" i="12"/>
  <c r="AP83" i="16" s="1"/>
  <c r="AO83" i="12"/>
  <c r="AN83" i="12"/>
  <c r="AM83" i="12"/>
  <c r="AL83" i="12"/>
  <c r="AL83" i="16" s="1"/>
  <c r="AK83" i="12"/>
  <c r="AJ83" i="12"/>
  <c r="AI83" i="12"/>
  <c r="AH83" i="12"/>
  <c r="AH83" i="16" s="1"/>
  <c r="AG83" i="12"/>
  <c r="AF83" i="12"/>
  <c r="AE83" i="12"/>
  <c r="AD83" i="12"/>
  <c r="AC83" i="12"/>
  <c r="AB83" i="12"/>
  <c r="AA83" i="12"/>
  <c r="Z83" i="12"/>
  <c r="Z83" i="16" s="1"/>
  <c r="Y83" i="12"/>
  <c r="X83" i="12"/>
  <c r="W83" i="12"/>
  <c r="V83" i="12"/>
  <c r="V83" i="16" s="1"/>
  <c r="U83" i="12"/>
  <c r="T83" i="12"/>
  <c r="S83" i="12"/>
  <c r="R83" i="12"/>
  <c r="R83" i="16" s="1"/>
  <c r="Q83" i="12"/>
  <c r="P83" i="12"/>
  <c r="O83" i="12"/>
  <c r="N83" i="12"/>
  <c r="N83" i="16" s="1"/>
  <c r="M83" i="12"/>
  <c r="L83" i="12"/>
  <c r="K83" i="12"/>
  <c r="J83" i="12"/>
  <c r="J83" i="16" s="1"/>
  <c r="I83" i="12"/>
  <c r="H83" i="12"/>
  <c r="G83" i="12"/>
  <c r="F83" i="12"/>
  <c r="F83" i="16" s="1"/>
  <c r="BA82" i="12"/>
  <c r="AZ82" i="12"/>
  <c r="AY82" i="12"/>
  <c r="AX82" i="12"/>
  <c r="AW82" i="12"/>
  <c r="AV82" i="12"/>
  <c r="AU82" i="12"/>
  <c r="AT82" i="12"/>
  <c r="AT82" i="16" s="1"/>
  <c r="AS82" i="12"/>
  <c r="AR82" i="12"/>
  <c r="AQ82" i="12"/>
  <c r="AP82" i="12"/>
  <c r="AP82" i="16" s="1"/>
  <c r="AO82" i="12"/>
  <c r="AN82" i="12"/>
  <c r="AM82" i="12"/>
  <c r="AL82" i="12"/>
  <c r="AL82" i="16" s="1"/>
  <c r="AK82" i="12"/>
  <c r="AJ82" i="12"/>
  <c r="AI82" i="12"/>
  <c r="AH82" i="12"/>
  <c r="AH82" i="16" s="1"/>
  <c r="AG82" i="12"/>
  <c r="AF82" i="12"/>
  <c r="AE82" i="12"/>
  <c r="AD82" i="12"/>
  <c r="AD82" i="16" s="1"/>
  <c r="AC82" i="12"/>
  <c r="AB82" i="12"/>
  <c r="AA82" i="12"/>
  <c r="Z82" i="12"/>
  <c r="Z82" i="16" s="1"/>
  <c r="Y82" i="12"/>
  <c r="X82" i="12"/>
  <c r="W82" i="12"/>
  <c r="V82" i="12"/>
  <c r="V82" i="16" s="1"/>
  <c r="U82" i="12"/>
  <c r="T82" i="12"/>
  <c r="S82" i="12"/>
  <c r="R82" i="12"/>
  <c r="R82" i="16" s="1"/>
  <c r="Q82" i="12"/>
  <c r="P82" i="12"/>
  <c r="O82" i="12"/>
  <c r="N82" i="12"/>
  <c r="N82" i="16" s="1"/>
  <c r="M82" i="12"/>
  <c r="L82" i="12"/>
  <c r="K82" i="12"/>
  <c r="J82" i="12"/>
  <c r="J82" i="16" s="1"/>
  <c r="I82" i="12"/>
  <c r="H82" i="12"/>
  <c r="G82" i="12"/>
  <c r="F82" i="12"/>
  <c r="F82" i="16" s="1"/>
  <c r="BA81" i="12"/>
  <c r="AZ81" i="12"/>
  <c r="AY81" i="12"/>
  <c r="AX81" i="12"/>
  <c r="AX81" i="16" s="1"/>
  <c r="AW81" i="12"/>
  <c r="AV81" i="12"/>
  <c r="AU81" i="12"/>
  <c r="AT81" i="12"/>
  <c r="AT81" i="16" s="1"/>
  <c r="AS81" i="12"/>
  <c r="AR81" i="12"/>
  <c r="AQ81" i="12"/>
  <c r="AP81" i="12"/>
  <c r="AP81" i="16" s="1"/>
  <c r="AO81" i="12"/>
  <c r="AN81" i="12"/>
  <c r="AM81" i="12"/>
  <c r="AL81" i="12"/>
  <c r="AL81" i="16" s="1"/>
  <c r="AK81" i="12"/>
  <c r="AJ81" i="12"/>
  <c r="AI81" i="12"/>
  <c r="AH81" i="12"/>
  <c r="AH81" i="16" s="1"/>
  <c r="AG81" i="12"/>
  <c r="AF81" i="12"/>
  <c r="AE81" i="12"/>
  <c r="AD81" i="12"/>
  <c r="AD81" i="16" s="1"/>
  <c r="AC81" i="12"/>
  <c r="AB81" i="12"/>
  <c r="AA81" i="12"/>
  <c r="Z81" i="12"/>
  <c r="Y81" i="12"/>
  <c r="X81" i="12"/>
  <c r="W81" i="12"/>
  <c r="V81" i="12"/>
  <c r="V81" i="16" s="1"/>
  <c r="U81" i="12"/>
  <c r="T81" i="12"/>
  <c r="S81" i="12"/>
  <c r="R81" i="12"/>
  <c r="R81" i="16" s="1"/>
  <c r="Q81" i="12"/>
  <c r="P81" i="12"/>
  <c r="O81" i="12"/>
  <c r="N81" i="12"/>
  <c r="N81" i="16" s="1"/>
  <c r="M81" i="12"/>
  <c r="L81" i="12"/>
  <c r="K81" i="12"/>
  <c r="J81" i="12"/>
  <c r="J81" i="16" s="1"/>
  <c r="I81" i="12"/>
  <c r="H81" i="12"/>
  <c r="G81" i="12"/>
  <c r="F81" i="12"/>
  <c r="F81" i="16" s="1"/>
  <c r="G285" i="16" s="1"/>
  <c r="BA80" i="12"/>
  <c r="AZ80" i="12"/>
  <c r="AY80" i="12"/>
  <c r="AX80" i="12"/>
  <c r="AX80" i="16" s="1"/>
  <c r="AW80" i="12"/>
  <c r="AV80" i="12"/>
  <c r="AU80" i="12"/>
  <c r="AT80" i="12"/>
  <c r="AS80" i="12"/>
  <c r="AR80" i="12"/>
  <c r="AQ80" i="12"/>
  <c r="AP80" i="12"/>
  <c r="AP80" i="16" s="1"/>
  <c r="AO80" i="12"/>
  <c r="AN80" i="12"/>
  <c r="AM80" i="12"/>
  <c r="AL80" i="12"/>
  <c r="AL80" i="16" s="1"/>
  <c r="AK80" i="12"/>
  <c r="AJ80" i="12"/>
  <c r="AI80" i="12"/>
  <c r="AH80" i="12"/>
  <c r="AH80" i="16" s="1"/>
  <c r="AG80" i="12"/>
  <c r="AF80" i="12"/>
  <c r="AE80" i="12"/>
  <c r="AD80" i="12"/>
  <c r="AD80" i="16" s="1"/>
  <c r="AC80" i="12"/>
  <c r="AB80" i="12"/>
  <c r="AA80" i="12"/>
  <c r="Z80" i="12"/>
  <c r="Z80" i="16" s="1"/>
  <c r="Y80" i="12"/>
  <c r="X80" i="12"/>
  <c r="W80" i="12"/>
  <c r="V80" i="12"/>
  <c r="V80" i="16" s="1"/>
  <c r="U80" i="12"/>
  <c r="T80" i="12"/>
  <c r="S80" i="12"/>
  <c r="R80" i="12"/>
  <c r="Q80" i="12"/>
  <c r="P80" i="12"/>
  <c r="O80" i="12"/>
  <c r="N80" i="12"/>
  <c r="N80" i="16" s="1"/>
  <c r="M80" i="12"/>
  <c r="L80" i="12"/>
  <c r="K80" i="12"/>
  <c r="J80" i="12"/>
  <c r="J80" i="16" s="1"/>
  <c r="I80" i="12"/>
  <c r="H80" i="12"/>
  <c r="G80" i="12"/>
  <c r="F80" i="12"/>
  <c r="F80" i="16" s="1"/>
  <c r="BA79" i="12"/>
  <c r="AZ79" i="12"/>
  <c r="AY79" i="12"/>
  <c r="AX79" i="12"/>
  <c r="AX79" i="16" s="1"/>
  <c r="AW79" i="12"/>
  <c r="AV79" i="12"/>
  <c r="AU79" i="12"/>
  <c r="AT79" i="12"/>
  <c r="AT79" i="16" s="1"/>
  <c r="AS79" i="12"/>
  <c r="AR79" i="12"/>
  <c r="AQ79" i="12"/>
  <c r="AP79" i="12"/>
  <c r="AP79" i="16" s="1"/>
  <c r="AO79" i="12"/>
  <c r="AN79" i="12"/>
  <c r="AM79" i="12"/>
  <c r="AL79" i="12"/>
  <c r="AL79" i="16" s="1"/>
  <c r="AK79" i="12"/>
  <c r="AJ79" i="12"/>
  <c r="AI79" i="12"/>
  <c r="AH79" i="12"/>
  <c r="AH79" i="16" s="1"/>
  <c r="AG79" i="12"/>
  <c r="AF79" i="12"/>
  <c r="AE79" i="12"/>
  <c r="AD79" i="12"/>
  <c r="AD79" i="16" s="1"/>
  <c r="AC79" i="12"/>
  <c r="AB79" i="12"/>
  <c r="AA79" i="12"/>
  <c r="Z79" i="12"/>
  <c r="Z79" i="16" s="1"/>
  <c r="Y79" i="12"/>
  <c r="X79" i="12"/>
  <c r="W79" i="12"/>
  <c r="V79" i="12"/>
  <c r="V79" i="16" s="1"/>
  <c r="V221" i="16" s="1"/>
  <c r="U79" i="12"/>
  <c r="T79" i="12"/>
  <c r="S79" i="12"/>
  <c r="R79" i="12"/>
  <c r="R79" i="16" s="1"/>
  <c r="Q79" i="12"/>
  <c r="P79" i="12"/>
  <c r="O79" i="12"/>
  <c r="N79" i="12"/>
  <c r="N79" i="16" s="1"/>
  <c r="M79" i="12"/>
  <c r="L79" i="12"/>
  <c r="K79" i="12"/>
  <c r="J79" i="12"/>
  <c r="J79" i="16" s="1"/>
  <c r="I79" i="12"/>
  <c r="H79" i="12"/>
  <c r="G79" i="12"/>
  <c r="F79" i="12"/>
  <c r="F79" i="16" s="1"/>
  <c r="BA78" i="12"/>
  <c r="AZ78" i="12"/>
  <c r="AY78" i="12"/>
  <c r="AX78" i="12"/>
  <c r="AX78" i="16" s="1"/>
  <c r="AW78" i="12"/>
  <c r="AV78" i="12"/>
  <c r="AU78" i="12"/>
  <c r="AT78" i="12"/>
  <c r="AT78" i="16" s="1"/>
  <c r="AS78" i="12"/>
  <c r="AR78" i="12"/>
  <c r="AQ78" i="12"/>
  <c r="AP78" i="12"/>
  <c r="AO78" i="12"/>
  <c r="AN78" i="12"/>
  <c r="AM78" i="12"/>
  <c r="AL78" i="12"/>
  <c r="AL78" i="16" s="1"/>
  <c r="AK78" i="12"/>
  <c r="AJ78" i="12"/>
  <c r="AI78" i="12"/>
  <c r="AH78" i="12"/>
  <c r="AH78" i="16" s="1"/>
  <c r="AG78" i="12"/>
  <c r="AF78" i="12"/>
  <c r="AE78" i="12"/>
  <c r="AD78" i="12"/>
  <c r="AD78" i="16" s="1"/>
  <c r="AC78" i="12"/>
  <c r="AB78" i="12"/>
  <c r="AA78" i="12"/>
  <c r="Z78" i="12"/>
  <c r="Z78" i="16" s="1"/>
  <c r="Y78" i="12"/>
  <c r="X78" i="12"/>
  <c r="W78" i="12"/>
  <c r="V78" i="12"/>
  <c r="V78" i="16" s="1"/>
  <c r="U78" i="12"/>
  <c r="T78" i="12"/>
  <c r="S78" i="12"/>
  <c r="R78" i="12"/>
  <c r="R78" i="16" s="1"/>
  <c r="Q78" i="12"/>
  <c r="P78" i="12"/>
  <c r="O78" i="12"/>
  <c r="N78" i="12"/>
  <c r="M78" i="12"/>
  <c r="L78" i="12"/>
  <c r="K78" i="12"/>
  <c r="J78" i="12"/>
  <c r="J78" i="16" s="1"/>
  <c r="I78" i="12"/>
  <c r="H78" i="12"/>
  <c r="G78" i="12"/>
  <c r="F78" i="12"/>
  <c r="F78" i="16" s="1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P66" i="17" s="1"/>
  <c r="AO70" i="12"/>
  <c r="AN70" i="12"/>
  <c r="AM70" i="12"/>
  <c r="AL70" i="12"/>
  <c r="AL66" i="17" s="1"/>
  <c r="AK70" i="12"/>
  <c r="AJ70" i="12"/>
  <c r="AI70" i="12"/>
  <c r="AH70" i="12"/>
  <c r="AH66" i="17" s="1"/>
  <c r="AG70" i="12"/>
  <c r="AF70" i="12"/>
  <c r="AE70" i="12"/>
  <c r="AD70" i="12"/>
  <c r="AD66" i="17" s="1"/>
  <c r="AC70" i="12"/>
  <c r="AB70" i="12"/>
  <c r="AA70" i="12"/>
  <c r="Z70" i="12"/>
  <c r="Z66" i="17" s="1"/>
  <c r="Y70" i="12"/>
  <c r="X70" i="12"/>
  <c r="W70" i="12"/>
  <c r="V70" i="12"/>
  <c r="V66" i="17" s="1"/>
  <c r="U70" i="12"/>
  <c r="T70" i="12"/>
  <c r="S70" i="12"/>
  <c r="R70" i="12"/>
  <c r="R66" i="17" s="1"/>
  <c r="Q70" i="12"/>
  <c r="P70" i="12"/>
  <c r="O70" i="12"/>
  <c r="N70" i="12"/>
  <c r="N66" i="17" s="1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P65" i="17" s="1"/>
  <c r="AO69" i="12"/>
  <c r="AN69" i="12"/>
  <c r="AM69" i="12"/>
  <c r="AL69" i="12"/>
  <c r="AL65" i="17" s="1"/>
  <c r="AK69" i="12"/>
  <c r="AJ69" i="12"/>
  <c r="AI69" i="12"/>
  <c r="AH69" i="12"/>
  <c r="AH65" i="17" s="1"/>
  <c r="AG69" i="12"/>
  <c r="AF69" i="12"/>
  <c r="AE69" i="12"/>
  <c r="AD69" i="12"/>
  <c r="AD65" i="17" s="1"/>
  <c r="AC69" i="12"/>
  <c r="AB69" i="12"/>
  <c r="AA69" i="12"/>
  <c r="Z69" i="12"/>
  <c r="Z65" i="17" s="1"/>
  <c r="Y69" i="12"/>
  <c r="X69" i="12"/>
  <c r="W69" i="12"/>
  <c r="V69" i="12"/>
  <c r="V65" i="17" s="1"/>
  <c r="U69" i="12"/>
  <c r="T69" i="12"/>
  <c r="S69" i="12"/>
  <c r="R69" i="12"/>
  <c r="R65" i="17" s="1"/>
  <c r="Q69" i="12"/>
  <c r="P69" i="12"/>
  <c r="O69" i="12"/>
  <c r="N69" i="12"/>
  <c r="N65" i="17" s="1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P64" i="17" s="1"/>
  <c r="AO68" i="12"/>
  <c r="AN68" i="12"/>
  <c r="AM68" i="12"/>
  <c r="AL68" i="12"/>
  <c r="AL64" i="17" s="1"/>
  <c r="AK68" i="12"/>
  <c r="AJ68" i="12"/>
  <c r="AI68" i="12"/>
  <c r="AH68" i="12"/>
  <c r="AH64" i="17" s="1"/>
  <c r="AG68" i="12"/>
  <c r="AF68" i="12"/>
  <c r="AE68" i="12"/>
  <c r="AD68" i="12"/>
  <c r="AC68" i="12"/>
  <c r="AB68" i="12"/>
  <c r="AA68" i="12"/>
  <c r="Z68" i="12"/>
  <c r="Z64" i="17" s="1"/>
  <c r="Y68" i="12"/>
  <c r="X68" i="12"/>
  <c r="W68" i="12"/>
  <c r="V68" i="12"/>
  <c r="V64" i="17" s="1"/>
  <c r="U68" i="12"/>
  <c r="T68" i="12"/>
  <c r="T64" i="17" s="1"/>
  <c r="S68" i="12"/>
  <c r="R68" i="12"/>
  <c r="R64" i="17" s="1"/>
  <c r="Q68" i="12"/>
  <c r="P68" i="12"/>
  <c r="P64" i="17" s="1"/>
  <c r="O68" i="12"/>
  <c r="N68" i="12"/>
  <c r="N64" i="17" s="1"/>
  <c r="M68" i="12"/>
  <c r="L68" i="12"/>
  <c r="K68" i="12"/>
  <c r="J68" i="12"/>
  <c r="J64" i="17" s="1"/>
  <c r="I68" i="12"/>
  <c r="H68" i="12"/>
  <c r="G68" i="12"/>
  <c r="F68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P63" i="17" s="1"/>
  <c r="AO67" i="12"/>
  <c r="AN67" i="12"/>
  <c r="AM67" i="12"/>
  <c r="AL67" i="12"/>
  <c r="AK67" i="12"/>
  <c r="AJ67" i="12"/>
  <c r="AI67" i="12"/>
  <c r="AH67" i="12"/>
  <c r="AH63" i="17" s="1"/>
  <c r="AG67" i="12"/>
  <c r="AF67" i="12"/>
  <c r="AE67" i="12"/>
  <c r="AD67" i="12"/>
  <c r="AD63" i="17" s="1"/>
  <c r="AC67" i="12"/>
  <c r="AB67" i="12"/>
  <c r="AA67" i="12"/>
  <c r="AA63" i="17" s="1"/>
  <c r="Z67" i="12"/>
  <c r="Z63" i="17" s="1"/>
  <c r="Y67" i="12"/>
  <c r="X67" i="12"/>
  <c r="W67" i="12"/>
  <c r="V67" i="12"/>
  <c r="V63" i="17" s="1"/>
  <c r="U67" i="12"/>
  <c r="T67" i="12"/>
  <c r="S67" i="12"/>
  <c r="R67" i="12"/>
  <c r="R63" i="17" s="1"/>
  <c r="Q67" i="12"/>
  <c r="P67" i="12"/>
  <c r="O67" i="12"/>
  <c r="N67" i="12"/>
  <c r="N63" i="17" s="1"/>
  <c r="M67" i="12"/>
  <c r="L67" i="12"/>
  <c r="K67" i="12"/>
  <c r="J67" i="12"/>
  <c r="I67" i="12"/>
  <c r="H67" i="12"/>
  <c r="G67" i="12"/>
  <c r="F67" i="12"/>
  <c r="F63" i="17" s="1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BA63" i="12"/>
  <c r="AZ63" i="12"/>
  <c r="AY63" i="12"/>
  <c r="AX63" i="12"/>
  <c r="AW63" i="12"/>
  <c r="AV63" i="12"/>
  <c r="AU63" i="12"/>
  <c r="AT63" i="12"/>
  <c r="AS63" i="12"/>
  <c r="AR63" i="12"/>
  <c r="AQ63" i="12"/>
  <c r="AQ71" i="12" s="1"/>
  <c r="AP63" i="12"/>
  <c r="AP62" i="17" s="1"/>
  <c r="AO63" i="12"/>
  <c r="AN63" i="12"/>
  <c r="AM63" i="12"/>
  <c r="AL63" i="12"/>
  <c r="AL62" i="17" s="1"/>
  <c r="AK63" i="12"/>
  <c r="AJ63" i="12"/>
  <c r="AI63" i="12"/>
  <c r="AH63" i="12"/>
  <c r="AH62" i="17" s="1"/>
  <c r="AG63" i="12"/>
  <c r="AF63" i="12"/>
  <c r="AE63" i="12"/>
  <c r="AD63" i="12"/>
  <c r="AD62" i="17" s="1"/>
  <c r="AC63" i="12"/>
  <c r="AC71" i="12" s="1"/>
  <c r="AC67" i="17" s="1"/>
  <c r="AB63" i="12"/>
  <c r="AA63" i="12"/>
  <c r="Z63" i="12"/>
  <c r="Z62" i="17" s="1"/>
  <c r="Y63" i="12"/>
  <c r="X63" i="12"/>
  <c r="W63" i="12"/>
  <c r="V63" i="12"/>
  <c r="V62" i="17" s="1"/>
  <c r="U63" i="12"/>
  <c r="T63" i="12"/>
  <c r="S63" i="12"/>
  <c r="R63" i="12"/>
  <c r="R62" i="17" s="1"/>
  <c r="Q63" i="12"/>
  <c r="P63" i="12"/>
  <c r="O63" i="12"/>
  <c r="N63" i="12"/>
  <c r="N62" i="17" s="1"/>
  <c r="BA61" i="12"/>
  <c r="AZ61" i="12"/>
  <c r="AY61" i="12"/>
  <c r="AX61" i="12"/>
  <c r="AW61" i="12"/>
  <c r="AX281" i="12" s="1"/>
  <c r="AV61" i="12"/>
  <c r="AU61" i="12"/>
  <c r="AT61" i="12"/>
  <c r="AS61" i="12"/>
  <c r="AR61" i="12"/>
  <c r="AQ61" i="12"/>
  <c r="AP61" i="12"/>
  <c r="AP61" i="17" s="1"/>
  <c r="AO61" i="12"/>
  <c r="AN61" i="12"/>
  <c r="AM61" i="12"/>
  <c r="AL61" i="12"/>
  <c r="AL61" i="17" s="1"/>
  <c r="AK61" i="12"/>
  <c r="AJ61" i="12"/>
  <c r="AI61" i="12"/>
  <c r="AH61" i="12"/>
  <c r="AH61" i="17" s="1"/>
  <c r="AG61" i="12"/>
  <c r="AF61" i="12"/>
  <c r="AE61" i="12"/>
  <c r="AD61" i="12"/>
  <c r="AD61" i="17" s="1"/>
  <c r="AC61" i="12"/>
  <c r="AB61" i="12"/>
  <c r="AA61" i="12"/>
  <c r="Z61" i="12"/>
  <c r="Z61" i="17" s="1"/>
  <c r="Y61" i="12"/>
  <c r="X61" i="12"/>
  <c r="W61" i="12"/>
  <c r="V61" i="12"/>
  <c r="V61" i="17" s="1"/>
  <c r="U61" i="12"/>
  <c r="T61" i="12"/>
  <c r="S61" i="12"/>
  <c r="R61" i="12"/>
  <c r="R61" i="17" s="1"/>
  <c r="Q61" i="12"/>
  <c r="P61" i="12"/>
  <c r="O61" i="12"/>
  <c r="N61" i="12"/>
  <c r="N61" i="17" s="1"/>
  <c r="M61" i="12"/>
  <c r="L61" i="12"/>
  <c r="K61" i="12"/>
  <c r="J61" i="12"/>
  <c r="J61" i="17" s="1"/>
  <c r="I61" i="12"/>
  <c r="H61" i="12"/>
  <c r="G61" i="12"/>
  <c r="F61" i="12"/>
  <c r="F61" i="17" s="1"/>
  <c r="BA60" i="12"/>
  <c r="AZ60" i="12"/>
  <c r="AY60" i="12"/>
  <c r="AX60" i="12"/>
  <c r="AW60" i="12"/>
  <c r="AV60" i="12"/>
  <c r="AU60" i="12"/>
  <c r="AT60" i="12"/>
  <c r="AS60" i="12"/>
  <c r="AR60" i="12"/>
  <c r="AQ60" i="12"/>
  <c r="AP60" i="12"/>
  <c r="AP60" i="17" s="1"/>
  <c r="AO60" i="12"/>
  <c r="AN60" i="12"/>
  <c r="AM60" i="12"/>
  <c r="AL60" i="12"/>
  <c r="AL60" i="17" s="1"/>
  <c r="AK60" i="12"/>
  <c r="AJ60" i="12"/>
  <c r="AI60" i="12"/>
  <c r="AH60" i="12"/>
  <c r="AH60" i="17" s="1"/>
  <c r="AG60" i="12"/>
  <c r="AF60" i="12"/>
  <c r="AE60" i="12"/>
  <c r="AD60" i="12"/>
  <c r="AD60" i="17" s="1"/>
  <c r="AC60" i="12"/>
  <c r="AB60" i="12"/>
  <c r="AA60" i="12"/>
  <c r="Z60" i="12"/>
  <c r="Z60" i="17" s="1"/>
  <c r="Y60" i="12"/>
  <c r="X60" i="12"/>
  <c r="W60" i="12"/>
  <c r="V60" i="12"/>
  <c r="V60" i="17" s="1"/>
  <c r="U60" i="12"/>
  <c r="T60" i="12"/>
  <c r="S60" i="12"/>
  <c r="R60" i="12"/>
  <c r="R60" i="17" s="1"/>
  <c r="Q60" i="12"/>
  <c r="P60" i="12"/>
  <c r="O60" i="12"/>
  <c r="N60" i="12"/>
  <c r="N60" i="17" s="1"/>
  <c r="M60" i="12"/>
  <c r="L60" i="12"/>
  <c r="K60" i="12"/>
  <c r="J60" i="12"/>
  <c r="J60" i="17" s="1"/>
  <c r="I60" i="12"/>
  <c r="H60" i="12"/>
  <c r="G60" i="12"/>
  <c r="F60" i="12"/>
  <c r="F60" i="17" s="1"/>
  <c r="BA58" i="12"/>
  <c r="AZ58" i="12"/>
  <c r="AY58" i="12"/>
  <c r="AX58" i="12"/>
  <c r="AX58" i="16" s="1"/>
  <c r="AW58" i="12"/>
  <c r="AV58" i="12"/>
  <c r="AU58" i="12"/>
  <c r="AT58" i="12"/>
  <c r="AT58" i="16" s="1"/>
  <c r="AS58" i="12"/>
  <c r="AR58" i="12"/>
  <c r="AQ58" i="12"/>
  <c r="AP58" i="12"/>
  <c r="AP58" i="16" s="1"/>
  <c r="AO58" i="12"/>
  <c r="AN58" i="12"/>
  <c r="AM58" i="12"/>
  <c r="AL58" i="12"/>
  <c r="AL58" i="16" s="1"/>
  <c r="AK58" i="12"/>
  <c r="AJ58" i="12"/>
  <c r="AI58" i="12"/>
  <c r="AH58" i="12"/>
  <c r="AH58" i="16" s="1"/>
  <c r="AI278" i="16" s="1"/>
  <c r="AG58" i="12"/>
  <c r="AF58" i="12"/>
  <c r="AE58" i="12"/>
  <c r="AD58" i="12"/>
  <c r="AD58" i="16" s="1"/>
  <c r="AC58" i="12"/>
  <c r="AB58" i="12"/>
  <c r="AA58" i="12"/>
  <c r="Z58" i="12"/>
  <c r="Z58" i="16" s="1"/>
  <c r="Z139" i="16" s="1"/>
  <c r="Y58" i="12"/>
  <c r="X58" i="12"/>
  <c r="W58" i="12"/>
  <c r="V58" i="12"/>
  <c r="V58" i="16" s="1"/>
  <c r="U58" i="12"/>
  <c r="T58" i="12"/>
  <c r="S58" i="12"/>
  <c r="R58" i="12"/>
  <c r="R58" i="16" s="1"/>
  <c r="Q58" i="12"/>
  <c r="P58" i="12"/>
  <c r="O58" i="12"/>
  <c r="N58" i="12"/>
  <c r="N58" i="16" s="1"/>
  <c r="M58" i="12"/>
  <c r="L58" i="12"/>
  <c r="K58" i="12"/>
  <c r="J58" i="12"/>
  <c r="J58" i="16" s="1"/>
  <c r="I58" i="12"/>
  <c r="H58" i="12"/>
  <c r="G58" i="12"/>
  <c r="F58" i="12"/>
  <c r="F58" i="16" s="1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F57" i="16" s="1"/>
  <c r="G236" i="16" s="1"/>
  <c r="BA56" i="12"/>
  <c r="AZ56" i="12"/>
  <c r="AY56" i="12"/>
  <c r="AX56" i="12"/>
  <c r="AX56" i="16" s="1"/>
  <c r="AX209" i="16" s="1"/>
  <c r="AW56" i="12"/>
  <c r="AV56" i="12"/>
  <c r="AU56" i="12"/>
  <c r="AT56" i="12"/>
  <c r="AT56" i="16" s="1"/>
  <c r="AT209" i="16" s="1"/>
  <c r="AS56" i="12"/>
  <c r="AR56" i="12"/>
  <c r="AQ56" i="12"/>
  <c r="AP56" i="12"/>
  <c r="AP56" i="16" s="1"/>
  <c r="AP209" i="16" s="1"/>
  <c r="AO56" i="12"/>
  <c r="AN56" i="12"/>
  <c r="AM56" i="12"/>
  <c r="AL56" i="12"/>
  <c r="AL56" i="16" s="1"/>
  <c r="AL209" i="16" s="1"/>
  <c r="AK56" i="12"/>
  <c r="AJ56" i="12"/>
  <c r="AI56" i="12"/>
  <c r="AH56" i="12"/>
  <c r="AH56" i="16" s="1"/>
  <c r="AH209" i="16" s="1"/>
  <c r="AG56" i="12"/>
  <c r="AF56" i="12"/>
  <c r="AE56" i="12"/>
  <c r="AD56" i="12"/>
  <c r="AD56" i="16" s="1"/>
  <c r="AD209" i="16" s="1"/>
  <c r="AC56" i="12"/>
  <c r="AB56" i="12"/>
  <c r="AA56" i="12"/>
  <c r="Z56" i="12"/>
  <c r="Z56" i="16" s="1"/>
  <c r="Z209" i="16" s="1"/>
  <c r="Y56" i="12"/>
  <c r="X56" i="12"/>
  <c r="X56" i="16" s="1"/>
  <c r="X209" i="16" s="1"/>
  <c r="W56" i="12"/>
  <c r="V56" i="12"/>
  <c r="U56" i="12"/>
  <c r="T56" i="12"/>
  <c r="S56" i="12"/>
  <c r="R56" i="12"/>
  <c r="R56" i="16" s="1"/>
  <c r="R209" i="16" s="1"/>
  <c r="Q56" i="12"/>
  <c r="P56" i="12"/>
  <c r="O56" i="12"/>
  <c r="N56" i="12"/>
  <c r="N56" i="16" s="1"/>
  <c r="N209" i="16" s="1"/>
  <c r="M56" i="12"/>
  <c r="L56" i="12"/>
  <c r="K56" i="12"/>
  <c r="J56" i="12"/>
  <c r="J56" i="16" s="1"/>
  <c r="J209" i="16" s="1"/>
  <c r="I56" i="12"/>
  <c r="H56" i="12"/>
  <c r="G56" i="12"/>
  <c r="F56" i="12"/>
  <c r="F56" i="16" s="1"/>
  <c r="F209" i="16" s="1"/>
  <c r="BA55" i="12"/>
  <c r="AZ55" i="12"/>
  <c r="AY55" i="12"/>
  <c r="AX55" i="12"/>
  <c r="AX55" i="16" s="1"/>
  <c r="AW55" i="12"/>
  <c r="AV55" i="12"/>
  <c r="AU55" i="12"/>
  <c r="AT55" i="12"/>
  <c r="AT55" i="16" s="1"/>
  <c r="AS55" i="12"/>
  <c r="AR55" i="12"/>
  <c r="AQ55" i="12"/>
  <c r="AP55" i="12"/>
  <c r="AP55" i="16" s="1"/>
  <c r="AO55" i="12"/>
  <c r="AN55" i="12"/>
  <c r="AM55" i="12"/>
  <c r="AL55" i="12"/>
  <c r="AL55" i="16" s="1"/>
  <c r="AK55" i="12"/>
  <c r="AJ55" i="12"/>
  <c r="AI55" i="12"/>
  <c r="AH55" i="12"/>
  <c r="AH55" i="16" s="1"/>
  <c r="AG55" i="12"/>
  <c r="AF55" i="12"/>
  <c r="AE55" i="12"/>
  <c r="AD55" i="12"/>
  <c r="AD55" i="16" s="1"/>
  <c r="AC55" i="12"/>
  <c r="AB55" i="12"/>
  <c r="AA55" i="12"/>
  <c r="Z55" i="12"/>
  <c r="Z55" i="16" s="1"/>
  <c r="Y55" i="12"/>
  <c r="X55" i="12"/>
  <c r="W55" i="12"/>
  <c r="V55" i="12"/>
  <c r="V55" i="16" s="1"/>
  <c r="U55" i="12"/>
  <c r="T55" i="12"/>
  <c r="S55" i="12"/>
  <c r="R55" i="12"/>
  <c r="Q55" i="12"/>
  <c r="P55" i="12"/>
  <c r="O55" i="12"/>
  <c r="N55" i="12"/>
  <c r="M55" i="12"/>
  <c r="L55" i="12"/>
  <c r="K55" i="12"/>
  <c r="J55" i="12"/>
  <c r="J55" i="16" s="1"/>
  <c r="I55" i="12"/>
  <c r="H55" i="12"/>
  <c r="G55" i="12"/>
  <c r="F55" i="12"/>
  <c r="F55" i="16" s="1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N54" i="16" s="1"/>
  <c r="M54" i="12"/>
  <c r="L54" i="12"/>
  <c r="K54" i="12"/>
  <c r="J54" i="12"/>
  <c r="I54" i="12"/>
  <c r="H54" i="12"/>
  <c r="G54" i="12"/>
  <c r="F54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N53" i="16" s="1"/>
  <c r="M53" i="12"/>
  <c r="L53" i="12"/>
  <c r="K53" i="12"/>
  <c r="J53" i="12"/>
  <c r="I53" i="12"/>
  <c r="H53" i="12"/>
  <c r="G53" i="12"/>
  <c r="F53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N52" i="16" s="1"/>
  <c r="M52" i="12"/>
  <c r="L52" i="12"/>
  <c r="K52" i="12"/>
  <c r="J52" i="12"/>
  <c r="I52" i="12"/>
  <c r="H52" i="12"/>
  <c r="G52" i="12"/>
  <c r="F52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BA50" i="12"/>
  <c r="AZ50" i="12"/>
  <c r="AY50" i="12"/>
  <c r="AY50" i="16" s="1"/>
  <c r="AX50" i="12"/>
  <c r="AX50" i="16" s="1"/>
  <c r="AW50" i="12"/>
  <c r="AW50" i="16" s="1"/>
  <c r="AV50" i="12"/>
  <c r="AU50" i="12"/>
  <c r="AT50" i="12"/>
  <c r="AT50" i="16" s="1"/>
  <c r="AS50" i="12"/>
  <c r="AR50" i="12"/>
  <c r="AQ50" i="12"/>
  <c r="AP50" i="12"/>
  <c r="AP50" i="16" s="1"/>
  <c r="AP48" i="16" s="1"/>
  <c r="AO50" i="12"/>
  <c r="AN50" i="12"/>
  <c r="AM50" i="12"/>
  <c r="AL50" i="12"/>
  <c r="AL50" i="16" s="1"/>
  <c r="AK50" i="12"/>
  <c r="AJ50" i="12"/>
  <c r="AI50" i="12"/>
  <c r="AH50" i="12"/>
  <c r="AH50" i="16" s="1"/>
  <c r="AG50" i="12"/>
  <c r="AF50" i="12"/>
  <c r="AE50" i="12"/>
  <c r="AD50" i="12"/>
  <c r="AD50" i="16" s="1"/>
  <c r="AC50" i="12"/>
  <c r="AB50" i="12"/>
  <c r="AA50" i="12"/>
  <c r="Z50" i="12"/>
  <c r="Z50" i="16" s="1"/>
  <c r="Y50" i="12"/>
  <c r="X50" i="12"/>
  <c r="W50" i="12"/>
  <c r="V50" i="12"/>
  <c r="V50" i="16" s="1"/>
  <c r="U50" i="12"/>
  <c r="T50" i="12"/>
  <c r="S50" i="12"/>
  <c r="R50" i="12"/>
  <c r="R50" i="16" s="1"/>
  <c r="Q50" i="12"/>
  <c r="P50" i="12"/>
  <c r="O50" i="12"/>
  <c r="N50" i="12"/>
  <c r="N50" i="16" s="1"/>
  <c r="M50" i="12"/>
  <c r="L50" i="12"/>
  <c r="K50" i="12"/>
  <c r="J50" i="12"/>
  <c r="J50" i="16" s="1"/>
  <c r="I50" i="12"/>
  <c r="H50" i="12"/>
  <c r="G50" i="12"/>
  <c r="F50" i="12"/>
  <c r="F50" i="16" s="1"/>
  <c r="BA49" i="12"/>
  <c r="AZ49" i="12"/>
  <c r="AY49" i="12"/>
  <c r="AX49" i="12"/>
  <c r="AX49" i="16" s="1"/>
  <c r="AW49" i="12"/>
  <c r="AV49" i="12"/>
  <c r="AU49" i="12"/>
  <c r="AT49" i="12"/>
  <c r="AT49" i="16" s="1"/>
  <c r="AS49" i="12"/>
  <c r="AR49" i="12"/>
  <c r="AQ49" i="12"/>
  <c r="AP49" i="12"/>
  <c r="AP49" i="16" s="1"/>
  <c r="AO49" i="12"/>
  <c r="AN49" i="12"/>
  <c r="AM49" i="12"/>
  <c r="AL49" i="12"/>
  <c r="AL49" i="16" s="1"/>
  <c r="AL48" i="16" s="1"/>
  <c r="AK49" i="12"/>
  <c r="AJ49" i="12"/>
  <c r="AI49" i="12"/>
  <c r="AH49" i="12"/>
  <c r="AH49" i="16" s="1"/>
  <c r="AG49" i="12"/>
  <c r="AF49" i="12"/>
  <c r="AE49" i="12"/>
  <c r="AD49" i="12"/>
  <c r="AD49" i="16" s="1"/>
  <c r="AC49" i="12"/>
  <c r="AB49" i="12"/>
  <c r="AA49" i="12"/>
  <c r="Z49" i="12"/>
  <c r="Z49" i="16" s="1"/>
  <c r="Z48" i="16" s="1"/>
  <c r="Z179" i="16" s="1"/>
  <c r="Y49" i="12"/>
  <c r="X49" i="12"/>
  <c r="W49" i="12"/>
  <c r="V49" i="12"/>
  <c r="V49" i="16" s="1"/>
  <c r="U49" i="12"/>
  <c r="T49" i="12"/>
  <c r="S49" i="12"/>
  <c r="R49" i="12"/>
  <c r="R49" i="16" s="1"/>
  <c r="Q49" i="12"/>
  <c r="P49" i="12"/>
  <c r="O49" i="12"/>
  <c r="N49" i="12"/>
  <c r="N49" i="16" s="1"/>
  <c r="M49" i="12"/>
  <c r="L49" i="12"/>
  <c r="K49" i="12"/>
  <c r="J49" i="12"/>
  <c r="J49" i="16" s="1"/>
  <c r="I49" i="12"/>
  <c r="H49" i="12"/>
  <c r="G49" i="12"/>
  <c r="F49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J48" i="16" s="1"/>
  <c r="I48" i="12"/>
  <c r="H48" i="12"/>
  <c r="G48" i="12"/>
  <c r="F48" i="12"/>
  <c r="F48" i="16" s="1"/>
  <c r="BA47" i="12"/>
  <c r="AZ47" i="12"/>
  <c r="AY47" i="12"/>
  <c r="AX47" i="12"/>
  <c r="AX47" i="16" s="1"/>
  <c r="AX244" i="16" s="1"/>
  <c r="AW47" i="12"/>
  <c r="AV47" i="12"/>
  <c r="AU47" i="12"/>
  <c r="AT47" i="12"/>
  <c r="AT47" i="16" s="1"/>
  <c r="AS47" i="12"/>
  <c r="AR47" i="12"/>
  <c r="AQ47" i="12"/>
  <c r="AP47" i="12"/>
  <c r="AP47" i="16" s="1"/>
  <c r="AO47" i="12"/>
  <c r="AN47" i="12"/>
  <c r="AM47" i="12"/>
  <c r="AL47" i="12"/>
  <c r="AL47" i="16" s="1"/>
  <c r="AK47" i="12"/>
  <c r="AJ47" i="12"/>
  <c r="AI47" i="12"/>
  <c r="AH47" i="12"/>
  <c r="AH47" i="16" s="1"/>
  <c r="AG47" i="12"/>
  <c r="AF47" i="12"/>
  <c r="AE47" i="12"/>
  <c r="AD47" i="12"/>
  <c r="AD47" i="16" s="1"/>
  <c r="AC47" i="12"/>
  <c r="AB47" i="12"/>
  <c r="AA47" i="12"/>
  <c r="Z47" i="12"/>
  <c r="Z47" i="16" s="1"/>
  <c r="Y47" i="12"/>
  <c r="X47" i="12"/>
  <c r="W47" i="12"/>
  <c r="V47" i="12"/>
  <c r="V47" i="16" s="1"/>
  <c r="U47" i="12"/>
  <c r="T47" i="12"/>
  <c r="S47" i="12"/>
  <c r="R47" i="12"/>
  <c r="R47" i="16" s="1"/>
  <c r="Q47" i="12"/>
  <c r="P47" i="12"/>
  <c r="O47" i="12"/>
  <c r="N47" i="12"/>
  <c r="N47" i="16" s="1"/>
  <c r="M47" i="12"/>
  <c r="L47" i="12"/>
  <c r="K47" i="12"/>
  <c r="J47" i="12"/>
  <c r="J47" i="16" s="1"/>
  <c r="I47" i="12"/>
  <c r="H47" i="12"/>
  <c r="G47" i="12"/>
  <c r="F47" i="12"/>
  <c r="F47" i="16" s="1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J46" i="16" s="1"/>
  <c r="I46" i="12"/>
  <c r="H46" i="12"/>
  <c r="G46" i="12"/>
  <c r="F46" i="12"/>
  <c r="BA45" i="12"/>
  <c r="AZ45" i="12"/>
  <c r="AY45" i="12"/>
  <c r="AX45" i="12"/>
  <c r="AX45" i="16" s="1"/>
  <c r="AW45" i="12"/>
  <c r="AV45" i="12"/>
  <c r="AU45" i="12"/>
  <c r="AT45" i="12"/>
  <c r="AT45" i="16" s="1"/>
  <c r="AS45" i="12"/>
  <c r="AR45" i="12"/>
  <c r="AR45" i="16" s="1"/>
  <c r="AQ45" i="12"/>
  <c r="AP45" i="12"/>
  <c r="AP45" i="16" s="1"/>
  <c r="AO45" i="12"/>
  <c r="AN45" i="12"/>
  <c r="AM45" i="12"/>
  <c r="AL45" i="12"/>
  <c r="AL45" i="16" s="1"/>
  <c r="AK45" i="12"/>
  <c r="AJ45" i="12"/>
  <c r="AI45" i="12"/>
  <c r="AH45" i="12"/>
  <c r="AH45" i="16" s="1"/>
  <c r="AH175" i="16" s="1"/>
  <c r="AG45" i="12"/>
  <c r="AF45" i="12"/>
  <c r="AE45" i="12"/>
  <c r="AD45" i="12"/>
  <c r="AD45" i="16" s="1"/>
  <c r="AC45" i="12"/>
  <c r="AB45" i="12"/>
  <c r="AA45" i="12"/>
  <c r="Z45" i="12"/>
  <c r="Z45" i="16" s="1"/>
  <c r="Y45" i="12"/>
  <c r="X45" i="12"/>
  <c r="W45" i="12"/>
  <c r="V45" i="12"/>
  <c r="V45" i="16" s="1"/>
  <c r="U45" i="12"/>
  <c r="T45" i="12"/>
  <c r="S45" i="12"/>
  <c r="R45" i="12"/>
  <c r="R45" i="16" s="1"/>
  <c r="Q45" i="12"/>
  <c r="P45" i="12"/>
  <c r="O45" i="12"/>
  <c r="N45" i="12"/>
  <c r="N45" i="16" s="1"/>
  <c r="M45" i="12"/>
  <c r="L45" i="12"/>
  <c r="K45" i="12"/>
  <c r="J45" i="12"/>
  <c r="J45" i="16" s="1"/>
  <c r="I45" i="12"/>
  <c r="H45" i="12"/>
  <c r="G45" i="12"/>
  <c r="F45" i="12"/>
  <c r="F45" i="16" s="1"/>
  <c r="BA44" i="12"/>
  <c r="AZ44" i="12"/>
  <c r="AY44" i="12"/>
  <c r="AX44" i="12"/>
  <c r="AX44" i="16" s="1"/>
  <c r="AW44" i="12"/>
  <c r="AV44" i="12"/>
  <c r="AU44" i="12"/>
  <c r="AT44" i="12"/>
  <c r="AT44" i="16" s="1"/>
  <c r="AS44" i="12"/>
  <c r="AR44" i="12"/>
  <c r="AQ44" i="12"/>
  <c r="AP44" i="12"/>
  <c r="AP44" i="16" s="1"/>
  <c r="AO44" i="12"/>
  <c r="AN44" i="12"/>
  <c r="AM44" i="12"/>
  <c r="AL44" i="12"/>
  <c r="AL44" i="16" s="1"/>
  <c r="AK44" i="12"/>
  <c r="AJ44" i="12"/>
  <c r="AI44" i="12"/>
  <c r="AH44" i="12"/>
  <c r="AG44" i="12"/>
  <c r="AF44" i="12"/>
  <c r="AE44" i="12"/>
  <c r="AD44" i="12"/>
  <c r="AD44" i="16" s="1"/>
  <c r="AD200" i="16" s="1"/>
  <c r="AC44" i="12"/>
  <c r="AB44" i="12"/>
  <c r="AA44" i="12"/>
  <c r="Z44" i="12"/>
  <c r="Z44" i="16" s="1"/>
  <c r="Y44" i="12"/>
  <c r="X44" i="12"/>
  <c r="W44" i="12"/>
  <c r="V44" i="12"/>
  <c r="V44" i="16" s="1"/>
  <c r="U44" i="12"/>
  <c r="T44" i="12"/>
  <c r="S44" i="12"/>
  <c r="R44" i="12"/>
  <c r="R44" i="16" s="1"/>
  <c r="R175" i="16" s="1"/>
  <c r="Q44" i="12"/>
  <c r="P44" i="12"/>
  <c r="O44" i="12"/>
  <c r="N44" i="12"/>
  <c r="N44" i="16" s="1"/>
  <c r="M44" i="12"/>
  <c r="L44" i="12"/>
  <c r="K44" i="12"/>
  <c r="J44" i="12"/>
  <c r="J44" i="16" s="1"/>
  <c r="I44" i="12"/>
  <c r="H44" i="12"/>
  <c r="G44" i="12"/>
  <c r="F44" i="12"/>
  <c r="F44" i="16" s="1"/>
  <c r="BA43" i="12"/>
  <c r="AZ43" i="12"/>
  <c r="AY43" i="12"/>
  <c r="AX43" i="12"/>
  <c r="AX43" i="16" s="1"/>
  <c r="AW43" i="12"/>
  <c r="AV43" i="12"/>
  <c r="AU43" i="12"/>
  <c r="AT43" i="12"/>
  <c r="AT43" i="16" s="1"/>
  <c r="AS43" i="12"/>
  <c r="AR43" i="12"/>
  <c r="AQ43" i="12"/>
  <c r="AP43" i="12"/>
  <c r="AP43" i="16" s="1"/>
  <c r="AO43" i="12"/>
  <c r="AN43" i="12"/>
  <c r="AM43" i="12"/>
  <c r="AL43" i="12"/>
  <c r="AL43" i="16" s="1"/>
  <c r="AK43" i="12"/>
  <c r="AJ43" i="12"/>
  <c r="AI43" i="12"/>
  <c r="AH43" i="12"/>
  <c r="AH43" i="16" s="1"/>
  <c r="AG43" i="12"/>
  <c r="AF43" i="12"/>
  <c r="AE43" i="12"/>
  <c r="AD43" i="12"/>
  <c r="AD43" i="16" s="1"/>
  <c r="AC43" i="12"/>
  <c r="AB43" i="12"/>
  <c r="AA43" i="12"/>
  <c r="Z43" i="12"/>
  <c r="Z43" i="16" s="1"/>
  <c r="Y43" i="12"/>
  <c r="X43" i="12"/>
  <c r="W43" i="12"/>
  <c r="V43" i="12"/>
  <c r="V43" i="16" s="1"/>
  <c r="U43" i="12"/>
  <c r="T43" i="12"/>
  <c r="S43" i="12"/>
  <c r="R43" i="12"/>
  <c r="Q43" i="12"/>
  <c r="P43" i="12"/>
  <c r="P43" i="16" s="1"/>
  <c r="O43" i="12"/>
  <c r="N43" i="12"/>
  <c r="N43" i="16" s="1"/>
  <c r="M43" i="12"/>
  <c r="L43" i="12"/>
  <c r="K43" i="12"/>
  <c r="J43" i="12"/>
  <c r="J43" i="16" s="1"/>
  <c r="I43" i="12"/>
  <c r="H43" i="12"/>
  <c r="G43" i="12"/>
  <c r="F43" i="12"/>
  <c r="F43" i="16" s="1"/>
  <c r="BA42" i="12"/>
  <c r="AZ42" i="12"/>
  <c r="AY42" i="12"/>
  <c r="AX42" i="12"/>
  <c r="AX42" i="16" s="1"/>
  <c r="AX174" i="16" s="1"/>
  <c r="AW42" i="12"/>
  <c r="AV42" i="12"/>
  <c r="AU42" i="12"/>
  <c r="AT42" i="12"/>
  <c r="AT42" i="16" s="1"/>
  <c r="AS42" i="12"/>
  <c r="AR42" i="12"/>
  <c r="AQ42" i="12"/>
  <c r="AP42" i="12"/>
  <c r="AP42" i="16" s="1"/>
  <c r="AO42" i="12"/>
  <c r="AN42" i="12"/>
  <c r="AM42" i="12"/>
  <c r="AL42" i="12"/>
  <c r="AL42" i="16" s="1"/>
  <c r="AK42" i="12"/>
  <c r="AJ42" i="12"/>
  <c r="AI42" i="12"/>
  <c r="AH42" i="12"/>
  <c r="AH42" i="16" s="1"/>
  <c r="AG42" i="12"/>
  <c r="AF42" i="12"/>
  <c r="AE42" i="12"/>
  <c r="AD42" i="12"/>
  <c r="AD42" i="16" s="1"/>
  <c r="AC42" i="12"/>
  <c r="AB42" i="12"/>
  <c r="AA42" i="12"/>
  <c r="Z42" i="12"/>
  <c r="Z42" i="16" s="1"/>
  <c r="Y42" i="12"/>
  <c r="X42" i="12"/>
  <c r="W42" i="12"/>
  <c r="V42" i="12"/>
  <c r="V42" i="16" s="1"/>
  <c r="U42" i="12"/>
  <c r="T42" i="12"/>
  <c r="S42" i="12"/>
  <c r="R42" i="12"/>
  <c r="R42" i="16" s="1"/>
  <c r="R174" i="16" s="1"/>
  <c r="Q42" i="12"/>
  <c r="P42" i="12"/>
  <c r="O42" i="12"/>
  <c r="N42" i="12"/>
  <c r="N42" i="16" s="1"/>
  <c r="M42" i="12"/>
  <c r="L42" i="12"/>
  <c r="K42" i="12"/>
  <c r="J42" i="12"/>
  <c r="J42" i="16" s="1"/>
  <c r="I42" i="12"/>
  <c r="H42" i="12"/>
  <c r="G42" i="12"/>
  <c r="F42" i="12"/>
  <c r="F42" i="16" s="1"/>
  <c r="BA41" i="12"/>
  <c r="AZ41" i="12"/>
  <c r="AY41" i="12"/>
  <c r="AX41" i="12"/>
  <c r="AW41" i="12"/>
  <c r="AV41" i="12"/>
  <c r="AU41" i="12"/>
  <c r="AT41" i="12"/>
  <c r="AT41" i="16" s="1"/>
  <c r="AS41" i="12"/>
  <c r="AR41" i="12"/>
  <c r="AQ41" i="12"/>
  <c r="AP41" i="12"/>
  <c r="AP41" i="16" s="1"/>
  <c r="AO41" i="12"/>
  <c r="AN41" i="12"/>
  <c r="AM41" i="12"/>
  <c r="AL41" i="12"/>
  <c r="AL41" i="16" s="1"/>
  <c r="AK41" i="12"/>
  <c r="AJ41" i="12"/>
  <c r="AI41" i="12"/>
  <c r="AH41" i="12"/>
  <c r="AH41" i="16" s="1"/>
  <c r="AH173" i="16" s="1"/>
  <c r="AG41" i="12"/>
  <c r="AF41" i="12"/>
  <c r="AE41" i="12"/>
  <c r="AD41" i="12"/>
  <c r="AD41" i="16" s="1"/>
  <c r="AC41" i="12"/>
  <c r="AB41" i="12"/>
  <c r="AA41" i="12"/>
  <c r="Z41" i="12"/>
  <c r="Z41" i="16" s="1"/>
  <c r="Y41" i="12"/>
  <c r="X41" i="12"/>
  <c r="W41" i="12"/>
  <c r="V41" i="12"/>
  <c r="V41" i="16" s="1"/>
  <c r="U41" i="12"/>
  <c r="T41" i="12"/>
  <c r="S41" i="12"/>
  <c r="R41" i="12"/>
  <c r="R41" i="16" s="1"/>
  <c r="Q41" i="12"/>
  <c r="P41" i="12"/>
  <c r="O41" i="12"/>
  <c r="N41" i="12"/>
  <c r="N41" i="16" s="1"/>
  <c r="M41" i="12"/>
  <c r="L41" i="12"/>
  <c r="K41" i="12"/>
  <c r="J41" i="12"/>
  <c r="J41" i="16" s="1"/>
  <c r="I41" i="12"/>
  <c r="H41" i="12"/>
  <c r="G41" i="12"/>
  <c r="F41" i="12"/>
  <c r="F41" i="16" s="1"/>
  <c r="BA40" i="12"/>
  <c r="AZ40" i="12"/>
  <c r="AY40" i="12"/>
  <c r="AX40" i="12"/>
  <c r="AX40" i="16" s="1"/>
  <c r="AW40" i="12"/>
  <c r="AV40" i="12"/>
  <c r="AU40" i="12"/>
  <c r="AT40" i="12"/>
  <c r="AT40" i="16" s="1"/>
  <c r="AS40" i="12"/>
  <c r="AR40" i="12"/>
  <c r="AQ40" i="12"/>
  <c r="AP40" i="12"/>
  <c r="AP40" i="16" s="1"/>
  <c r="AO40" i="12"/>
  <c r="AN40" i="12"/>
  <c r="AM40" i="12"/>
  <c r="AL40" i="12"/>
  <c r="AL40" i="16" s="1"/>
  <c r="AL173" i="16" s="1"/>
  <c r="AK40" i="12"/>
  <c r="AJ40" i="12"/>
  <c r="AI40" i="12"/>
  <c r="AH40" i="12"/>
  <c r="AG40" i="12"/>
  <c r="AF40" i="12"/>
  <c r="AE40" i="12"/>
  <c r="AD40" i="12"/>
  <c r="AD40" i="16" s="1"/>
  <c r="AC40" i="12"/>
  <c r="AB40" i="12"/>
  <c r="AA40" i="12"/>
  <c r="Z40" i="12"/>
  <c r="Z40" i="16" s="1"/>
  <c r="Y40" i="12"/>
  <c r="X40" i="12"/>
  <c r="W40" i="12"/>
  <c r="V40" i="12"/>
  <c r="V40" i="16" s="1"/>
  <c r="U40" i="12"/>
  <c r="T40" i="12"/>
  <c r="S40" i="12"/>
  <c r="R40" i="12"/>
  <c r="R40" i="16" s="1"/>
  <c r="R173" i="16" s="1"/>
  <c r="Q40" i="12"/>
  <c r="P40" i="12"/>
  <c r="O40" i="12"/>
  <c r="N40" i="12"/>
  <c r="N40" i="16" s="1"/>
  <c r="M40" i="12"/>
  <c r="L40" i="12"/>
  <c r="K40" i="12"/>
  <c r="J40" i="12"/>
  <c r="J40" i="16" s="1"/>
  <c r="I40" i="12"/>
  <c r="H40" i="12"/>
  <c r="G40" i="12"/>
  <c r="F40" i="12"/>
  <c r="F40" i="16" s="1"/>
  <c r="BA39" i="12"/>
  <c r="AZ39" i="12"/>
  <c r="AY39" i="12"/>
  <c r="AX39" i="12"/>
  <c r="AX39" i="16" s="1"/>
  <c r="AW39" i="12"/>
  <c r="AV39" i="12"/>
  <c r="AU39" i="12"/>
  <c r="AT39" i="12"/>
  <c r="AT39" i="16" s="1"/>
  <c r="AS39" i="12"/>
  <c r="AR39" i="12"/>
  <c r="AQ39" i="12"/>
  <c r="AP39" i="12"/>
  <c r="AP39" i="16" s="1"/>
  <c r="AO39" i="12"/>
  <c r="AN39" i="12"/>
  <c r="AM39" i="12"/>
  <c r="AL39" i="12"/>
  <c r="AL39" i="16" s="1"/>
  <c r="AK39" i="12"/>
  <c r="AJ39" i="12"/>
  <c r="AI39" i="12"/>
  <c r="AH39" i="12"/>
  <c r="AH39" i="16" s="1"/>
  <c r="AG39" i="12"/>
  <c r="AF39" i="12"/>
  <c r="AE39" i="12"/>
  <c r="AD39" i="12"/>
  <c r="AD39" i="16" s="1"/>
  <c r="AC39" i="12"/>
  <c r="AB39" i="12"/>
  <c r="AA39" i="12"/>
  <c r="Z39" i="12"/>
  <c r="Z39" i="16" s="1"/>
  <c r="Y39" i="12"/>
  <c r="X39" i="12"/>
  <c r="W39" i="12"/>
  <c r="V39" i="12"/>
  <c r="V39" i="16" s="1"/>
  <c r="U39" i="12"/>
  <c r="T39" i="12"/>
  <c r="S39" i="12"/>
  <c r="R39" i="12"/>
  <c r="Q39" i="12"/>
  <c r="Q39" i="16" s="1"/>
  <c r="P39" i="12"/>
  <c r="O39" i="12"/>
  <c r="N39" i="12"/>
  <c r="N39" i="16" s="1"/>
  <c r="M39" i="12"/>
  <c r="L39" i="12"/>
  <c r="K39" i="12"/>
  <c r="J39" i="12"/>
  <c r="J39" i="16" s="1"/>
  <c r="I39" i="12"/>
  <c r="H39" i="12"/>
  <c r="G39" i="12"/>
  <c r="F39" i="12"/>
  <c r="F39" i="16" s="1"/>
  <c r="BA38" i="12"/>
  <c r="AZ38" i="12"/>
  <c r="AY38" i="12"/>
  <c r="AX38" i="12"/>
  <c r="AX38" i="16" s="1"/>
  <c r="AW38" i="12"/>
  <c r="AV38" i="12"/>
  <c r="AU38" i="12"/>
  <c r="AT38" i="12"/>
  <c r="AT38" i="16" s="1"/>
  <c r="AS38" i="12"/>
  <c r="AR38" i="12"/>
  <c r="AQ38" i="12"/>
  <c r="AP38" i="12"/>
  <c r="AP38" i="16" s="1"/>
  <c r="AO38" i="12"/>
  <c r="AN38" i="12"/>
  <c r="AM38" i="12"/>
  <c r="AL38" i="12"/>
  <c r="AL38" i="16" s="1"/>
  <c r="AK38" i="12"/>
  <c r="AJ38" i="12"/>
  <c r="AI38" i="12"/>
  <c r="AH38" i="12"/>
  <c r="AH38" i="16" s="1"/>
  <c r="AG38" i="12"/>
  <c r="AF38" i="12"/>
  <c r="AE38" i="12"/>
  <c r="AD38" i="12"/>
  <c r="AD38" i="16" s="1"/>
  <c r="AD35" i="16" s="1"/>
  <c r="AC38" i="12"/>
  <c r="AB38" i="12"/>
  <c r="AA38" i="12"/>
  <c r="Z38" i="12"/>
  <c r="Z38" i="16" s="1"/>
  <c r="Y38" i="12"/>
  <c r="X38" i="12"/>
  <c r="W38" i="12"/>
  <c r="V38" i="12"/>
  <c r="V38" i="16" s="1"/>
  <c r="U38" i="12"/>
  <c r="T38" i="12"/>
  <c r="S38" i="12"/>
  <c r="R38" i="12"/>
  <c r="R38" i="16" s="1"/>
  <c r="Q38" i="12"/>
  <c r="P38" i="12"/>
  <c r="O38" i="12"/>
  <c r="N38" i="12"/>
  <c r="N38" i="16" s="1"/>
  <c r="M38" i="12"/>
  <c r="L38" i="12"/>
  <c r="K38" i="12"/>
  <c r="J38" i="12"/>
  <c r="J38" i="16" s="1"/>
  <c r="I38" i="12"/>
  <c r="H38" i="12"/>
  <c r="G38" i="12"/>
  <c r="F38" i="12"/>
  <c r="F38" i="16" s="1"/>
  <c r="BA37" i="12"/>
  <c r="AZ37" i="12"/>
  <c r="AY37" i="12"/>
  <c r="AX37" i="12"/>
  <c r="AW37" i="12"/>
  <c r="AV37" i="12"/>
  <c r="AU37" i="12"/>
  <c r="AT37" i="12"/>
  <c r="AT37" i="16" s="1"/>
  <c r="AS37" i="12"/>
  <c r="AR37" i="12"/>
  <c r="AQ37" i="12"/>
  <c r="AP37" i="12"/>
  <c r="AP37" i="16" s="1"/>
  <c r="AO37" i="12"/>
  <c r="AN37" i="12"/>
  <c r="AM37" i="12"/>
  <c r="AL37" i="12"/>
  <c r="AL37" i="16" s="1"/>
  <c r="AK37" i="12"/>
  <c r="AJ37" i="12"/>
  <c r="AI37" i="12"/>
  <c r="AH37" i="12"/>
  <c r="AH37" i="16" s="1"/>
  <c r="AH171" i="16" s="1"/>
  <c r="AG37" i="12"/>
  <c r="AF37" i="12"/>
  <c r="AE37" i="12"/>
  <c r="AD37" i="12"/>
  <c r="AD37" i="16" s="1"/>
  <c r="AC37" i="12"/>
  <c r="AB37" i="12"/>
  <c r="AA37" i="12"/>
  <c r="Z37" i="12"/>
  <c r="Z37" i="16" s="1"/>
  <c r="Y37" i="12"/>
  <c r="X37" i="12"/>
  <c r="W37" i="12"/>
  <c r="V37" i="12"/>
  <c r="V37" i="16" s="1"/>
  <c r="U37" i="12"/>
  <c r="T37" i="12"/>
  <c r="S37" i="12"/>
  <c r="R37" i="12"/>
  <c r="R37" i="16" s="1"/>
  <c r="R171" i="16" s="1"/>
  <c r="Q37" i="12"/>
  <c r="P37" i="12"/>
  <c r="O37" i="12"/>
  <c r="N37" i="12"/>
  <c r="N37" i="16" s="1"/>
  <c r="M37" i="12"/>
  <c r="L37" i="12"/>
  <c r="K37" i="12"/>
  <c r="K37" i="16" s="1"/>
  <c r="J37" i="12"/>
  <c r="J37" i="16" s="1"/>
  <c r="I37" i="12"/>
  <c r="H37" i="12"/>
  <c r="G37" i="12"/>
  <c r="F37" i="12"/>
  <c r="F37" i="16" s="1"/>
  <c r="BA36" i="12"/>
  <c r="AZ36" i="12"/>
  <c r="AY36" i="12"/>
  <c r="AX36" i="12"/>
  <c r="AX36" i="16" s="1"/>
  <c r="AX211" i="16" s="1"/>
  <c r="AW36" i="12"/>
  <c r="AV36" i="12"/>
  <c r="AU36" i="12"/>
  <c r="AT36" i="12"/>
  <c r="AT36" i="16" s="1"/>
  <c r="AS36" i="12"/>
  <c r="AR36" i="12"/>
  <c r="AQ36" i="12"/>
  <c r="AP36" i="12"/>
  <c r="AP171" i="12" s="1"/>
  <c r="AO36" i="12"/>
  <c r="AN36" i="12"/>
  <c r="AM36" i="12"/>
  <c r="AL36" i="12"/>
  <c r="AL36" i="16" s="1"/>
  <c r="AK36" i="12"/>
  <c r="AJ36" i="12"/>
  <c r="AI36" i="12"/>
  <c r="AH36" i="12"/>
  <c r="AH36" i="16" s="1"/>
  <c r="AG36" i="12"/>
  <c r="AF36" i="12"/>
  <c r="AE36" i="12"/>
  <c r="AD36" i="12"/>
  <c r="AC36" i="12"/>
  <c r="AB36" i="12"/>
  <c r="AA36" i="12"/>
  <c r="Z36" i="12"/>
  <c r="Z36" i="16" s="1"/>
  <c r="Y36" i="12"/>
  <c r="X36" i="12"/>
  <c r="W36" i="12"/>
  <c r="V36" i="12"/>
  <c r="V36" i="16" s="1"/>
  <c r="U36" i="12"/>
  <c r="T36" i="12"/>
  <c r="S36" i="12"/>
  <c r="R36" i="12"/>
  <c r="R36" i="16" s="1"/>
  <c r="Q36" i="12"/>
  <c r="P36" i="12"/>
  <c r="O36" i="12"/>
  <c r="N36" i="12"/>
  <c r="N36" i="16" s="1"/>
  <c r="M36" i="12"/>
  <c r="L36" i="12"/>
  <c r="K36" i="12"/>
  <c r="J36" i="12"/>
  <c r="J36" i="16" s="1"/>
  <c r="J211" i="16" s="1"/>
  <c r="I36" i="12"/>
  <c r="H36" i="12"/>
  <c r="G36" i="12"/>
  <c r="F36" i="12"/>
  <c r="F36" i="16" s="1"/>
  <c r="F211" i="16" s="1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J35" i="16" s="1"/>
  <c r="I35" i="12"/>
  <c r="H35" i="12"/>
  <c r="G35" i="12"/>
  <c r="F35" i="12"/>
  <c r="F35" i="16" s="1"/>
  <c r="F217" i="16" s="1"/>
  <c r="BA34" i="12"/>
  <c r="AZ34" i="12"/>
  <c r="AY34" i="12"/>
  <c r="AX34" i="12"/>
  <c r="AX34" i="16" s="1"/>
  <c r="AW34" i="12"/>
  <c r="AV34" i="12"/>
  <c r="AU34" i="12"/>
  <c r="AT34" i="12"/>
  <c r="AT34" i="16" s="1"/>
  <c r="AS34" i="12"/>
  <c r="AR34" i="12"/>
  <c r="AQ34" i="12"/>
  <c r="AP34" i="12"/>
  <c r="AP34" i="16" s="1"/>
  <c r="AO34" i="12"/>
  <c r="AN34" i="12"/>
  <c r="AM34" i="12"/>
  <c r="AL34" i="12"/>
  <c r="AL34" i="16" s="1"/>
  <c r="AL177" i="16" s="1"/>
  <c r="AK34" i="12"/>
  <c r="AJ34" i="12"/>
  <c r="AI34" i="12"/>
  <c r="AH34" i="12"/>
  <c r="AH34" i="16" s="1"/>
  <c r="AG34" i="12"/>
  <c r="AF34" i="12"/>
  <c r="AE34" i="12"/>
  <c r="AD34" i="12"/>
  <c r="AD34" i="16" s="1"/>
  <c r="AC34" i="12"/>
  <c r="AB34" i="12"/>
  <c r="AA34" i="12"/>
  <c r="Z34" i="12"/>
  <c r="Z34" i="16" s="1"/>
  <c r="Y34" i="12"/>
  <c r="X34" i="12"/>
  <c r="W34" i="12"/>
  <c r="V34" i="12"/>
  <c r="U34" i="12"/>
  <c r="T34" i="12"/>
  <c r="S34" i="12"/>
  <c r="R34" i="12"/>
  <c r="R34" i="16" s="1"/>
  <c r="Q34" i="12"/>
  <c r="P34" i="12"/>
  <c r="O34" i="12"/>
  <c r="N34" i="12"/>
  <c r="N34" i="16" s="1"/>
  <c r="M34" i="12"/>
  <c r="L34" i="12"/>
  <c r="K34" i="12"/>
  <c r="J34" i="12"/>
  <c r="J34" i="16" s="1"/>
  <c r="I34" i="12"/>
  <c r="H34" i="12"/>
  <c r="G34" i="12"/>
  <c r="F34" i="12"/>
  <c r="F34" i="16" s="1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BA32" i="12"/>
  <c r="AZ32" i="12"/>
  <c r="AY32" i="12"/>
  <c r="AX32" i="12"/>
  <c r="AX32" i="16" s="1"/>
  <c r="AW32" i="12"/>
  <c r="AV32" i="12"/>
  <c r="AU32" i="12"/>
  <c r="AT32" i="12"/>
  <c r="AT32" i="16" s="1"/>
  <c r="AS32" i="12"/>
  <c r="AR32" i="12"/>
  <c r="AQ32" i="12"/>
  <c r="AP32" i="12"/>
  <c r="AP32" i="16" s="1"/>
  <c r="AO32" i="12"/>
  <c r="AN32" i="12"/>
  <c r="AM32" i="12"/>
  <c r="AL32" i="12"/>
  <c r="AL32" i="16" s="1"/>
  <c r="AK32" i="12"/>
  <c r="AJ32" i="12"/>
  <c r="AI32" i="12"/>
  <c r="AH32" i="12"/>
  <c r="AH32" i="16" s="1"/>
  <c r="AG32" i="12"/>
  <c r="AF32" i="12"/>
  <c r="AE32" i="12"/>
  <c r="AD32" i="12"/>
  <c r="AD32" i="16" s="1"/>
  <c r="AC32" i="12"/>
  <c r="AB32" i="12"/>
  <c r="AA32" i="12"/>
  <c r="Z32" i="12"/>
  <c r="Z32" i="16" s="1"/>
  <c r="Y32" i="12"/>
  <c r="X32" i="12"/>
  <c r="W32" i="12"/>
  <c r="V32" i="12"/>
  <c r="U32" i="12"/>
  <c r="T32" i="12"/>
  <c r="S32" i="12"/>
  <c r="R32" i="12"/>
  <c r="R32" i="16" s="1"/>
  <c r="Q32" i="12"/>
  <c r="P32" i="12"/>
  <c r="O32" i="12"/>
  <c r="N32" i="12"/>
  <c r="N32" i="16" s="1"/>
  <c r="M32" i="12"/>
  <c r="L32" i="12"/>
  <c r="K32" i="12"/>
  <c r="J32" i="12"/>
  <c r="J32" i="16" s="1"/>
  <c r="I32" i="12"/>
  <c r="H32" i="12"/>
  <c r="G32" i="12"/>
  <c r="F32" i="12"/>
  <c r="F32" i="16" s="1"/>
  <c r="BA31" i="12"/>
  <c r="AZ31" i="12"/>
  <c r="AY31" i="12"/>
  <c r="AX31" i="12"/>
  <c r="AX31" i="16" s="1"/>
  <c r="AW31" i="12"/>
  <c r="AV31" i="12"/>
  <c r="AU31" i="12"/>
  <c r="AT31" i="12"/>
  <c r="AT31" i="16" s="1"/>
  <c r="AS31" i="12"/>
  <c r="AR31" i="12"/>
  <c r="AQ31" i="12"/>
  <c r="AP31" i="12"/>
  <c r="AP31" i="16" s="1"/>
  <c r="AO31" i="12"/>
  <c r="AN31" i="12"/>
  <c r="AM31" i="12"/>
  <c r="AL31" i="12"/>
  <c r="AL31" i="16" s="1"/>
  <c r="AL170" i="16" s="1"/>
  <c r="AK31" i="12"/>
  <c r="AJ31" i="12"/>
  <c r="AI31" i="12"/>
  <c r="AH31" i="12"/>
  <c r="AH31" i="16" s="1"/>
  <c r="AG31" i="12"/>
  <c r="AF31" i="12"/>
  <c r="AE31" i="12"/>
  <c r="AD31" i="12"/>
  <c r="AD31" i="16" s="1"/>
  <c r="AD170" i="16" s="1"/>
  <c r="AC31" i="12"/>
  <c r="AB31" i="12"/>
  <c r="AA31" i="12"/>
  <c r="Z31" i="12"/>
  <c r="Z31" i="16" s="1"/>
  <c r="Z170" i="16" s="1"/>
  <c r="Y31" i="12"/>
  <c r="X31" i="12"/>
  <c r="W31" i="12"/>
  <c r="V31" i="12"/>
  <c r="V31" i="16" s="1"/>
  <c r="V170" i="16" s="1"/>
  <c r="U31" i="12"/>
  <c r="T31" i="12"/>
  <c r="S31" i="12"/>
  <c r="R31" i="12"/>
  <c r="R31" i="16" s="1"/>
  <c r="Q31" i="12"/>
  <c r="P31" i="12"/>
  <c r="O31" i="12"/>
  <c r="N31" i="12"/>
  <c r="N31" i="16" s="1"/>
  <c r="M31" i="12"/>
  <c r="L31" i="12"/>
  <c r="K31" i="12"/>
  <c r="J31" i="12"/>
  <c r="J31" i="16" s="1"/>
  <c r="I31" i="12"/>
  <c r="H31" i="12"/>
  <c r="G31" i="12"/>
  <c r="F31" i="12"/>
  <c r="BA30" i="12"/>
  <c r="AZ30" i="12"/>
  <c r="AY30" i="12"/>
  <c r="AX30" i="12"/>
  <c r="AX30" i="16" s="1"/>
  <c r="AW30" i="12"/>
  <c r="AV30" i="12"/>
  <c r="AU30" i="12"/>
  <c r="AT30" i="12"/>
  <c r="AT30" i="16" s="1"/>
  <c r="AS30" i="12"/>
  <c r="AR30" i="12"/>
  <c r="AQ30" i="12"/>
  <c r="AP30" i="12"/>
  <c r="AP30" i="16" s="1"/>
  <c r="AO30" i="12"/>
  <c r="AN30" i="12"/>
  <c r="AM30" i="12"/>
  <c r="AL30" i="12"/>
  <c r="AL30" i="16" s="1"/>
  <c r="AK30" i="12"/>
  <c r="AJ30" i="12"/>
  <c r="AI30" i="12"/>
  <c r="AH30" i="12"/>
  <c r="AH30" i="16" s="1"/>
  <c r="AG30" i="12"/>
  <c r="AF30" i="12"/>
  <c r="AE30" i="12"/>
  <c r="AD30" i="12"/>
  <c r="AD30" i="16" s="1"/>
  <c r="AC30" i="12"/>
  <c r="AB30" i="12"/>
  <c r="AA30" i="12"/>
  <c r="Z30" i="12"/>
  <c r="Z30" i="16" s="1"/>
  <c r="Z166" i="16" s="1"/>
  <c r="Y30" i="12"/>
  <c r="X30" i="12"/>
  <c r="W30" i="12"/>
  <c r="V30" i="12"/>
  <c r="V30" i="16" s="1"/>
  <c r="U30" i="12"/>
  <c r="T30" i="12"/>
  <c r="S30" i="12"/>
  <c r="R30" i="12"/>
  <c r="R30" i="16" s="1"/>
  <c r="Q30" i="12"/>
  <c r="P30" i="12"/>
  <c r="O30" i="12"/>
  <c r="N30" i="12"/>
  <c r="N30" i="16" s="1"/>
  <c r="U258" i="16" s="1"/>
  <c r="M30" i="12"/>
  <c r="L30" i="12"/>
  <c r="K30" i="12"/>
  <c r="J30" i="12"/>
  <c r="J30" i="16" s="1"/>
  <c r="I30" i="12"/>
  <c r="H30" i="12"/>
  <c r="G30" i="12"/>
  <c r="F30" i="12"/>
  <c r="F30" i="16" s="1"/>
  <c r="BA29" i="12"/>
  <c r="AZ29" i="12"/>
  <c r="AY29" i="12"/>
  <c r="AX29" i="12"/>
  <c r="AX29" i="16" s="1"/>
  <c r="AW29" i="12"/>
  <c r="AV29" i="12"/>
  <c r="AU29" i="12"/>
  <c r="AT29" i="12"/>
  <c r="AT29" i="16" s="1"/>
  <c r="AS29" i="12"/>
  <c r="AR29" i="12"/>
  <c r="AQ29" i="12"/>
  <c r="AP29" i="12"/>
  <c r="AP29" i="16" s="1"/>
  <c r="AO29" i="12"/>
  <c r="AN29" i="12"/>
  <c r="AM29" i="12"/>
  <c r="AL29" i="12"/>
  <c r="AK29" i="12"/>
  <c r="AJ29" i="12"/>
  <c r="AI29" i="12"/>
  <c r="AH29" i="12"/>
  <c r="AH29" i="16" s="1"/>
  <c r="AG29" i="12"/>
  <c r="AF29" i="12"/>
  <c r="AE29" i="12"/>
  <c r="AD29" i="12"/>
  <c r="AD29" i="16" s="1"/>
  <c r="AC29" i="12"/>
  <c r="AB29" i="12"/>
  <c r="AA29" i="12"/>
  <c r="Z29" i="12"/>
  <c r="Z29" i="16" s="1"/>
  <c r="Y29" i="12"/>
  <c r="X29" i="12"/>
  <c r="W29" i="12"/>
  <c r="V29" i="12"/>
  <c r="V29" i="16" s="1"/>
  <c r="V165" i="16" s="1"/>
  <c r="U29" i="12"/>
  <c r="T29" i="12"/>
  <c r="S29" i="12"/>
  <c r="R29" i="12"/>
  <c r="R29" i="16" s="1"/>
  <c r="Q29" i="12"/>
  <c r="P29" i="12"/>
  <c r="O29" i="12"/>
  <c r="N29" i="12"/>
  <c r="N29" i="16" s="1"/>
  <c r="M29" i="12"/>
  <c r="L29" i="12"/>
  <c r="K29" i="12"/>
  <c r="J29" i="12"/>
  <c r="J29" i="16" s="1"/>
  <c r="I29" i="12"/>
  <c r="H29" i="12"/>
  <c r="H29" i="16" s="1"/>
  <c r="G29" i="12"/>
  <c r="F29" i="12"/>
  <c r="F29" i="16" s="1"/>
  <c r="BA28" i="12"/>
  <c r="AZ28" i="12"/>
  <c r="AY28" i="12"/>
  <c r="AX28" i="12"/>
  <c r="AX28" i="16" s="1"/>
  <c r="AW28" i="12"/>
  <c r="AV28" i="12"/>
  <c r="AU28" i="12"/>
  <c r="AT28" i="12"/>
  <c r="AT28" i="16" s="1"/>
  <c r="AS28" i="12"/>
  <c r="AR28" i="12"/>
  <c r="AQ28" i="12"/>
  <c r="AP28" i="12"/>
  <c r="AP28" i="16" s="1"/>
  <c r="AO28" i="12"/>
  <c r="AN28" i="12"/>
  <c r="AM28" i="12"/>
  <c r="AL28" i="12"/>
  <c r="AL28" i="16" s="1"/>
  <c r="AK28" i="12"/>
  <c r="AJ28" i="12"/>
  <c r="AI28" i="12"/>
  <c r="AH28" i="12"/>
  <c r="AH28" i="16" s="1"/>
  <c r="AG28" i="12"/>
  <c r="AF28" i="12"/>
  <c r="AE28" i="12"/>
  <c r="AD28" i="12"/>
  <c r="AD28" i="16" s="1"/>
  <c r="AC28" i="12"/>
  <c r="AB28" i="12"/>
  <c r="AA28" i="12"/>
  <c r="Z28" i="12"/>
  <c r="Z28" i="16" s="1"/>
  <c r="Y28" i="12"/>
  <c r="X28" i="12"/>
  <c r="W28" i="12"/>
  <c r="V28" i="12"/>
  <c r="V28" i="16" s="1"/>
  <c r="U28" i="12"/>
  <c r="T28" i="12"/>
  <c r="S28" i="12"/>
  <c r="R28" i="12"/>
  <c r="Q28" i="12"/>
  <c r="P28" i="12"/>
  <c r="O28" i="12"/>
  <c r="N28" i="12"/>
  <c r="N28" i="16" s="1"/>
  <c r="M28" i="12"/>
  <c r="L28" i="12"/>
  <c r="K28" i="12"/>
  <c r="J28" i="12"/>
  <c r="J28" i="16" s="1"/>
  <c r="I28" i="12"/>
  <c r="H28" i="12"/>
  <c r="G28" i="12"/>
  <c r="F28" i="12"/>
  <c r="F28" i="16" s="1"/>
  <c r="BA27" i="12"/>
  <c r="AZ27" i="12"/>
  <c r="AY27" i="12"/>
  <c r="AX27" i="12"/>
  <c r="AX27" i="16" s="1"/>
  <c r="AW27" i="12"/>
  <c r="AV27" i="12"/>
  <c r="AU27" i="12"/>
  <c r="AT27" i="12"/>
  <c r="AT27" i="16" s="1"/>
  <c r="AS27" i="12"/>
  <c r="AR27" i="12"/>
  <c r="AQ27" i="12"/>
  <c r="AP27" i="12"/>
  <c r="AP27" i="16" s="1"/>
  <c r="AO27" i="12"/>
  <c r="AN27" i="12"/>
  <c r="AM27" i="12"/>
  <c r="AL27" i="12"/>
  <c r="AL27" i="16" s="1"/>
  <c r="AK27" i="12"/>
  <c r="AJ27" i="12"/>
  <c r="AI27" i="12"/>
  <c r="AH27" i="12"/>
  <c r="AH27" i="16" s="1"/>
  <c r="AG27" i="12"/>
  <c r="AF27" i="12"/>
  <c r="AE27" i="12"/>
  <c r="AD27" i="12"/>
  <c r="AD27" i="16" s="1"/>
  <c r="AC27" i="12"/>
  <c r="AB27" i="12"/>
  <c r="AA27" i="12"/>
  <c r="Z27" i="12"/>
  <c r="Z27" i="16" s="1"/>
  <c r="Y27" i="12"/>
  <c r="X27" i="12"/>
  <c r="W27" i="12"/>
  <c r="V27" i="12"/>
  <c r="V27" i="16" s="1"/>
  <c r="U27" i="12"/>
  <c r="T27" i="12"/>
  <c r="S27" i="12"/>
  <c r="R27" i="12"/>
  <c r="R27" i="16" s="1"/>
  <c r="Q27" i="12"/>
  <c r="P27" i="12"/>
  <c r="O27" i="12"/>
  <c r="N27" i="12"/>
  <c r="N27" i="16" s="1"/>
  <c r="M27" i="12"/>
  <c r="L27" i="12"/>
  <c r="K27" i="12"/>
  <c r="J27" i="12"/>
  <c r="J27" i="16" s="1"/>
  <c r="I27" i="12"/>
  <c r="H27" i="12"/>
  <c r="G27" i="12"/>
  <c r="F27" i="12"/>
  <c r="F27" i="16" s="1"/>
  <c r="BA26" i="12"/>
  <c r="AZ26" i="12"/>
  <c r="AY26" i="12"/>
  <c r="AX26" i="12"/>
  <c r="AW26" i="12"/>
  <c r="AV26" i="12"/>
  <c r="AU26" i="12"/>
  <c r="AT26" i="12"/>
  <c r="AT26" i="16" s="1"/>
  <c r="AS26" i="12"/>
  <c r="AR26" i="12"/>
  <c r="AQ26" i="12"/>
  <c r="AP26" i="12"/>
  <c r="AP26" i="16" s="1"/>
  <c r="AO26" i="12"/>
  <c r="AN26" i="12"/>
  <c r="AM26" i="12"/>
  <c r="AL26" i="12"/>
  <c r="AL26" i="16" s="1"/>
  <c r="AK26" i="12"/>
  <c r="AJ26" i="12"/>
  <c r="AI26" i="12"/>
  <c r="AH26" i="12"/>
  <c r="AH26" i="16" s="1"/>
  <c r="AG26" i="12"/>
  <c r="AF26" i="12"/>
  <c r="AE26" i="12"/>
  <c r="AD26" i="12"/>
  <c r="AD26" i="16" s="1"/>
  <c r="AC26" i="12"/>
  <c r="AB26" i="12"/>
  <c r="AA26" i="12"/>
  <c r="Z26" i="12"/>
  <c r="Z26" i="16" s="1"/>
  <c r="Y26" i="12"/>
  <c r="X26" i="12"/>
  <c r="W26" i="12"/>
  <c r="V26" i="12"/>
  <c r="V26" i="16" s="1"/>
  <c r="U26" i="12"/>
  <c r="T26" i="12"/>
  <c r="S26" i="12"/>
  <c r="R26" i="12"/>
  <c r="R26" i="16" s="1"/>
  <c r="Q26" i="12"/>
  <c r="P26" i="12"/>
  <c r="O26" i="12"/>
  <c r="N26" i="12"/>
  <c r="N26" i="16" s="1"/>
  <c r="M26" i="12"/>
  <c r="L26" i="12"/>
  <c r="K26" i="12"/>
  <c r="J26" i="12"/>
  <c r="J26" i="16" s="1"/>
  <c r="I26" i="12"/>
  <c r="H26" i="12"/>
  <c r="G26" i="12"/>
  <c r="F26" i="12"/>
  <c r="F26" i="16" s="1"/>
  <c r="BA25" i="12"/>
  <c r="AZ25" i="12"/>
  <c r="AY25" i="12"/>
  <c r="AX25" i="12"/>
  <c r="AX25" i="16" s="1"/>
  <c r="AW25" i="12"/>
  <c r="AV25" i="12"/>
  <c r="AU25" i="12"/>
  <c r="AT25" i="12"/>
  <c r="AT25" i="16" s="1"/>
  <c r="AS25" i="12"/>
  <c r="AR25" i="12"/>
  <c r="AQ25" i="12"/>
  <c r="AP25" i="12"/>
  <c r="AP25" i="16" s="1"/>
  <c r="AO25" i="12"/>
  <c r="AN25" i="12"/>
  <c r="AM25" i="12"/>
  <c r="AL25" i="12"/>
  <c r="AL25" i="16" s="1"/>
  <c r="AK25" i="12"/>
  <c r="AJ25" i="12"/>
  <c r="AI25" i="12"/>
  <c r="AH25" i="12"/>
  <c r="AG25" i="12"/>
  <c r="AF25" i="12"/>
  <c r="AE25" i="12"/>
  <c r="AD25" i="12"/>
  <c r="AD25" i="16" s="1"/>
  <c r="AC25" i="12"/>
  <c r="AB25" i="12"/>
  <c r="AA25" i="12"/>
  <c r="Z25" i="12"/>
  <c r="Z25" i="16" s="1"/>
  <c r="Y25" i="12"/>
  <c r="X25" i="12"/>
  <c r="W25" i="12"/>
  <c r="V25" i="12"/>
  <c r="V25" i="16" s="1"/>
  <c r="U25" i="12"/>
  <c r="T25" i="12"/>
  <c r="S25" i="12"/>
  <c r="R25" i="12"/>
  <c r="R25" i="16" s="1"/>
  <c r="R163" i="16" s="1"/>
  <c r="Q25" i="12"/>
  <c r="P25" i="12"/>
  <c r="O25" i="12"/>
  <c r="N25" i="12"/>
  <c r="N25" i="16" s="1"/>
  <c r="M25" i="12"/>
  <c r="L25" i="12"/>
  <c r="K25" i="12"/>
  <c r="J25" i="12"/>
  <c r="J25" i="16" s="1"/>
  <c r="I25" i="12"/>
  <c r="H25" i="12"/>
  <c r="G25" i="12"/>
  <c r="F25" i="12"/>
  <c r="F25" i="16" s="1"/>
  <c r="BA24" i="12"/>
  <c r="AZ24" i="12"/>
  <c r="AY24" i="12"/>
  <c r="AX24" i="12"/>
  <c r="AX24" i="16" s="1"/>
  <c r="AW24" i="12"/>
  <c r="AV24" i="12"/>
  <c r="AU24" i="12"/>
  <c r="AT24" i="12"/>
  <c r="AT24" i="16" s="1"/>
  <c r="AS24" i="12"/>
  <c r="AR24" i="12"/>
  <c r="AQ24" i="12"/>
  <c r="AP24" i="12"/>
  <c r="AO24" i="12"/>
  <c r="AN24" i="12"/>
  <c r="AM24" i="12"/>
  <c r="AL24" i="12"/>
  <c r="AL24" i="16" s="1"/>
  <c r="AK24" i="12"/>
  <c r="AJ24" i="12"/>
  <c r="AI24" i="12"/>
  <c r="AH24" i="12"/>
  <c r="AH24" i="16" s="1"/>
  <c r="AG24" i="12"/>
  <c r="AF24" i="12"/>
  <c r="AE24" i="12"/>
  <c r="AD24" i="12"/>
  <c r="AD24" i="16" s="1"/>
  <c r="AC24" i="12"/>
  <c r="AB24" i="12"/>
  <c r="AA24" i="12"/>
  <c r="Z24" i="12"/>
  <c r="Z24" i="16" s="1"/>
  <c r="Y24" i="12"/>
  <c r="Y164" i="12" s="1"/>
  <c r="X24" i="12"/>
  <c r="W24" i="12"/>
  <c r="V24" i="12"/>
  <c r="V24" i="16" s="1"/>
  <c r="U24" i="12"/>
  <c r="T24" i="12"/>
  <c r="S24" i="12"/>
  <c r="R24" i="12"/>
  <c r="Q24" i="12"/>
  <c r="P24" i="12"/>
  <c r="O24" i="12"/>
  <c r="N24" i="12"/>
  <c r="N24" i="16" s="1"/>
  <c r="M24" i="12"/>
  <c r="L24" i="12"/>
  <c r="K24" i="12"/>
  <c r="J24" i="12"/>
  <c r="J24" i="16" s="1"/>
  <c r="K274" i="16" s="1"/>
  <c r="I24" i="12"/>
  <c r="H24" i="12"/>
  <c r="G24" i="12"/>
  <c r="F24" i="12"/>
  <c r="F24" i="16" s="1"/>
  <c r="G274" i="16" s="1"/>
  <c r="BA23" i="12"/>
  <c r="AZ23" i="12"/>
  <c r="AY23" i="12"/>
  <c r="AX23" i="12"/>
  <c r="AX23" i="16" s="1"/>
  <c r="AY273" i="16" s="1"/>
  <c r="AW23" i="12"/>
  <c r="AV23" i="12"/>
  <c r="AU23" i="12"/>
  <c r="AT23" i="12"/>
  <c r="AT23" i="16" s="1"/>
  <c r="AU273" i="16" s="1"/>
  <c r="AS23" i="12"/>
  <c r="AR23" i="12"/>
  <c r="AQ23" i="12"/>
  <c r="AP23" i="12"/>
  <c r="AP23" i="16" s="1"/>
  <c r="AQ273" i="16" s="1"/>
  <c r="AO23" i="12"/>
  <c r="AN23" i="12"/>
  <c r="AM23" i="12"/>
  <c r="AL23" i="12"/>
  <c r="AL23" i="16" s="1"/>
  <c r="AM273" i="16" s="1"/>
  <c r="AK23" i="12"/>
  <c r="AJ23" i="12"/>
  <c r="AI23" i="12"/>
  <c r="AH23" i="12"/>
  <c r="AH23" i="16" s="1"/>
  <c r="AI273" i="16" s="1"/>
  <c r="AG23" i="12"/>
  <c r="AF23" i="12"/>
  <c r="AE23" i="12"/>
  <c r="AD23" i="12"/>
  <c r="AD23" i="16" s="1"/>
  <c r="AE273" i="16" s="1"/>
  <c r="AC23" i="12"/>
  <c r="AB23" i="12"/>
  <c r="AA23" i="12"/>
  <c r="Z23" i="12"/>
  <c r="Z23" i="16" s="1"/>
  <c r="Z273" i="16" s="1"/>
  <c r="Y23" i="12"/>
  <c r="X23" i="12"/>
  <c r="W23" i="12"/>
  <c r="V23" i="12"/>
  <c r="V23" i="16" s="1"/>
  <c r="V273" i="16" s="1"/>
  <c r="U23" i="12"/>
  <c r="T23" i="12"/>
  <c r="S23" i="12"/>
  <c r="R23" i="12"/>
  <c r="R23" i="16" s="1"/>
  <c r="R273" i="16" s="1"/>
  <c r="Q23" i="12"/>
  <c r="P23" i="12"/>
  <c r="O23" i="12"/>
  <c r="N23" i="12"/>
  <c r="N23" i="16" s="1"/>
  <c r="M23" i="12"/>
  <c r="L23" i="12"/>
  <c r="K23" i="12"/>
  <c r="J23" i="12"/>
  <c r="I23" i="12"/>
  <c r="H23" i="12"/>
  <c r="G23" i="12"/>
  <c r="F23" i="12"/>
  <c r="F23" i="16" s="1"/>
  <c r="BA22" i="12"/>
  <c r="AZ22" i="12"/>
  <c r="AY22" i="12"/>
  <c r="AX22" i="12"/>
  <c r="AX22" i="16" s="1"/>
  <c r="AW22" i="12"/>
  <c r="AV22" i="12"/>
  <c r="AU22" i="12"/>
  <c r="AT22" i="12"/>
  <c r="AT22" i="16" s="1"/>
  <c r="AS22" i="12"/>
  <c r="AR22" i="12"/>
  <c r="AQ22" i="12"/>
  <c r="AP22" i="12"/>
  <c r="AP22" i="16" s="1"/>
  <c r="AP159" i="16" s="1"/>
  <c r="AO22" i="12"/>
  <c r="AN22" i="12"/>
  <c r="AM22" i="12"/>
  <c r="AL22" i="12"/>
  <c r="AL22" i="16" s="1"/>
  <c r="AK22" i="12"/>
  <c r="AJ22" i="12"/>
  <c r="AI22" i="12"/>
  <c r="AH22" i="12"/>
  <c r="AH22" i="16" s="1"/>
  <c r="AG22" i="12"/>
  <c r="AF22" i="12"/>
  <c r="AE22" i="12"/>
  <c r="AD22" i="12"/>
  <c r="AD22" i="16" s="1"/>
  <c r="AC22" i="12"/>
  <c r="AB22" i="12"/>
  <c r="AA22" i="12"/>
  <c r="Z22" i="12"/>
  <c r="Z22" i="16" s="1"/>
  <c r="Y22" i="12"/>
  <c r="X22" i="12"/>
  <c r="W22" i="12"/>
  <c r="V22" i="12"/>
  <c r="V22" i="16" s="1"/>
  <c r="U22" i="12"/>
  <c r="T22" i="12"/>
  <c r="S22" i="12"/>
  <c r="R22" i="12"/>
  <c r="R22" i="16" s="1"/>
  <c r="Q22" i="12"/>
  <c r="P22" i="12"/>
  <c r="O22" i="12"/>
  <c r="N22" i="12"/>
  <c r="N22" i="16" s="1"/>
  <c r="AH251" i="16" s="1"/>
  <c r="M22" i="12"/>
  <c r="L22" i="12"/>
  <c r="K22" i="12"/>
  <c r="J22" i="12"/>
  <c r="J22" i="16" s="1"/>
  <c r="I22" i="12"/>
  <c r="H22" i="12"/>
  <c r="G22" i="12"/>
  <c r="F22" i="12"/>
  <c r="F22" i="16" s="1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W231" i="12" s="1"/>
  <c r="V21" i="12"/>
  <c r="U21" i="12"/>
  <c r="U271" i="12" s="1"/>
  <c r="T21" i="12"/>
  <c r="S21" i="12"/>
  <c r="R21" i="12"/>
  <c r="R271" i="12" s="1"/>
  <c r="Q21" i="12"/>
  <c r="P21" i="12"/>
  <c r="O21" i="12"/>
  <c r="N21" i="12"/>
  <c r="M21" i="12"/>
  <c r="L21" i="12"/>
  <c r="L21" i="16" s="1"/>
  <c r="K21" i="12"/>
  <c r="J21" i="12"/>
  <c r="J21" i="16" s="1"/>
  <c r="I21" i="12"/>
  <c r="H21" i="12"/>
  <c r="G21" i="12"/>
  <c r="F21" i="12"/>
  <c r="F21" i="16" s="1"/>
  <c r="BA20" i="12"/>
  <c r="AZ20" i="12"/>
  <c r="AY20" i="12"/>
  <c r="AX20" i="12"/>
  <c r="AW20" i="12"/>
  <c r="AV20" i="12"/>
  <c r="AV20" i="16" s="1"/>
  <c r="AU20" i="12"/>
  <c r="AT20" i="12"/>
  <c r="AT20" i="16" s="1"/>
  <c r="AS20" i="12"/>
  <c r="AS20" i="16" s="1"/>
  <c r="AR20" i="12"/>
  <c r="AQ20" i="12"/>
  <c r="AP20" i="12"/>
  <c r="AO20" i="12"/>
  <c r="AO20" i="16" s="1"/>
  <c r="AN20" i="12"/>
  <c r="AM20" i="12"/>
  <c r="AL20" i="12"/>
  <c r="AL20" i="16" s="1"/>
  <c r="AL207" i="16" s="1"/>
  <c r="AK20" i="12"/>
  <c r="AJ20" i="12"/>
  <c r="AI20" i="12"/>
  <c r="AH20" i="12"/>
  <c r="AH20" i="16" s="1"/>
  <c r="AH207" i="16" s="1"/>
  <c r="AG20" i="12"/>
  <c r="AF20" i="12"/>
  <c r="AE20" i="12"/>
  <c r="AD20" i="12"/>
  <c r="AD20" i="16" s="1"/>
  <c r="AD207" i="16" s="1"/>
  <c r="AC20" i="12"/>
  <c r="AB20" i="12"/>
  <c r="AA20" i="12"/>
  <c r="Z20" i="12"/>
  <c r="Y20" i="12"/>
  <c r="X20" i="12"/>
  <c r="W20" i="12"/>
  <c r="V20" i="12"/>
  <c r="V20" i="16" s="1"/>
  <c r="V207" i="16" s="1"/>
  <c r="U20" i="12"/>
  <c r="T20" i="12"/>
  <c r="S20" i="12"/>
  <c r="R20" i="12"/>
  <c r="R20" i="16" s="1"/>
  <c r="R207" i="16" s="1"/>
  <c r="Q20" i="12"/>
  <c r="P20" i="12"/>
  <c r="O20" i="12"/>
  <c r="N20" i="12"/>
  <c r="N20" i="16" s="1"/>
  <c r="M20" i="12"/>
  <c r="L20" i="12"/>
  <c r="K20" i="12"/>
  <c r="J20" i="12"/>
  <c r="J20" i="16" s="1"/>
  <c r="J207" i="16" s="1"/>
  <c r="I20" i="12"/>
  <c r="H20" i="12"/>
  <c r="G20" i="12"/>
  <c r="F20" i="12"/>
  <c r="F20" i="16" s="1"/>
  <c r="F207" i="16" s="1"/>
  <c r="BA19" i="12"/>
  <c r="AZ19" i="12"/>
  <c r="AY19" i="12"/>
  <c r="AX19" i="12"/>
  <c r="AX19" i="16" s="1"/>
  <c r="AY270" i="16" s="1"/>
  <c r="AW19" i="12"/>
  <c r="AV19" i="12"/>
  <c r="AU19" i="12"/>
  <c r="AT19" i="12"/>
  <c r="AT19" i="16" s="1"/>
  <c r="AS19" i="12"/>
  <c r="AR19" i="12"/>
  <c r="AQ19" i="12"/>
  <c r="AP19" i="12"/>
  <c r="AP19" i="16" s="1"/>
  <c r="AQ270" i="16" s="1"/>
  <c r="AO19" i="12"/>
  <c r="AN19" i="12"/>
  <c r="AM19" i="12"/>
  <c r="AL19" i="12"/>
  <c r="AL19" i="16" s="1"/>
  <c r="AM270" i="16" s="1"/>
  <c r="AK19" i="12"/>
  <c r="AJ19" i="12"/>
  <c r="AI19" i="12"/>
  <c r="AH19" i="12"/>
  <c r="AG19" i="12"/>
  <c r="AF19" i="12"/>
  <c r="AE19" i="12"/>
  <c r="AD19" i="12"/>
  <c r="AD19" i="16" s="1"/>
  <c r="AE270" i="16" s="1"/>
  <c r="AC19" i="12"/>
  <c r="AB19" i="12"/>
  <c r="AA19" i="12"/>
  <c r="Z19" i="12"/>
  <c r="Z19" i="16" s="1"/>
  <c r="AA270" i="16" s="1"/>
  <c r="Y19" i="12"/>
  <c r="X19" i="12"/>
  <c r="W19" i="12"/>
  <c r="V19" i="12"/>
  <c r="V19" i="16" s="1"/>
  <c r="W270" i="16" s="1"/>
  <c r="U19" i="12"/>
  <c r="T19" i="12"/>
  <c r="S19" i="12"/>
  <c r="R19" i="12"/>
  <c r="R19" i="16" s="1"/>
  <c r="Q19" i="12"/>
  <c r="P19" i="12"/>
  <c r="O19" i="12"/>
  <c r="N19" i="12"/>
  <c r="N19" i="16" s="1"/>
  <c r="M19" i="12"/>
  <c r="L19" i="12"/>
  <c r="K19" i="12"/>
  <c r="J19" i="12"/>
  <c r="J19" i="16" s="1"/>
  <c r="J270" i="16" s="1"/>
  <c r="I19" i="12"/>
  <c r="H19" i="12"/>
  <c r="G19" i="12"/>
  <c r="F19" i="12"/>
  <c r="F19" i="16" s="1"/>
  <c r="BA18" i="12"/>
  <c r="AZ18" i="12"/>
  <c r="AY18" i="12"/>
  <c r="AX18" i="12"/>
  <c r="AX18" i="16" s="1"/>
  <c r="AW18" i="12"/>
  <c r="AV18" i="12"/>
  <c r="AU18" i="12"/>
  <c r="AT18" i="12"/>
  <c r="AT18" i="16" s="1"/>
  <c r="AS18" i="12"/>
  <c r="AR18" i="12"/>
  <c r="AQ18" i="12"/>
  <c r="AP18" i="12"/>
  <c r="AP18" i="16" s="1"/>
  <c r="AO18" i="12"/>
  <c r="AN18" i="12"/>
  <c r="AN153" i="12" s="1"/>
  <c r="AM18" i="12"/>
  <c r="AL18" i="12"/>
  <c r="AL18" i="16" s="1"/>
  <c r="AK18" i="12"/>
  <c r="AJ18" i="12"/>
  <c r="AI18" i="12"/>
  <c r="AH18" i="12"/>
  <c r="AH18" i="16" s="1"/>
  <c r="AG18" i="12"/>
  <c r="AF18" i="12"/>
  <c r="AE18" i="12"/>
  <c r="AD18" i="12"/>
  <c r="AD18" i="16" s="1"/>
  <c r="AC18" i="12"/>
  <c r="AB18" i="12"/>
  <c r="AA18" i="12"/>
  <c r="Z18" i="12"/>
  <c r="Z18" i="16" s="1"/>
  <c r="Y18" i="12"/>
  <c r="X18" i="12"/>
  <c r="W18" i="12"/>
  <c r="V18" i="12"/>
  <c r="V18" i="16" s="1"/>
  <c r="U18" i="12"/>
  <c r="T18" i="12"/>
  <c r="S18" i="12"/>
  <c r="R18" i="12"/>
  <c r="Q18" i="12"/>
  <c r="P18" i="12"/>
  <c r="O18" i="12"/>
  <c r="N18" i="12"/>
  <c r="N18" i="16" s="1"/>
  <c r="M18" i="12"/>
  <c r="L18" i="12"/>
  <c r="K18" i="12"/>
  <c r="J18" i="12"/>
  <c r="J18" i="16" s="1"/>
  <c r="I18" i="12"/>
  <c r="H18" i="12"/>
  <c r="G18" i="12"/>
  <c r="F18" i="12"/>
  <c r="F18" i="16" s="1"/>
  <c r="F230" i="16" s="1"/>
  <c r="BA17" i="12"/>
  <c r="AZ17" i="12"/>
  <c r="AY17" i="12"/>
  <c r="AX17" i="12"/>
  <c r="AX17" i="16" s="1"/>
  <c r="AW17" i="12"/>
  <c r="AV17" i="12"/>
  <c r="AU17" i="12"/>
  <c r="AT17" i="12"/>
  <c r="AT17" i="16" s="1"/>
  <c r="AS17" i="12"/>
  <c r="AR17" i="12"/>
  <c r="AQ17" i="12"/>
  <c r="AP17" i="12"/>
  <c r="AP17" i="16" s="1"/>
  <c r="AO17" i="12"/>
  <c r="AN17" i="12"/>
  <c r="AM17" i="12"/>
  <c r="AL17" i="12"/>
  <c r="AL17" i="16" s="1"/>
  <c r="AK17" i="12"/>
  <c r="AJ17" i="12"/>
  <c r="AI17" i="12"/>
  <c r="AH17" i="12"/>
  <c r="AH17" i="16" s="1"/>
  <c r="AG17" i="12"/>
  <c r="AF17" i="12"/>
  <c r="AE17" i="12"/>
  <c r="AD17" i="12"/>
  <c r="AD17" i="16" s="1"/>
  <c r="AC17" i="12"/>
  <c r="AB17" i="12"/>
  <c r="AA17" i="12"/>
  <c r="Z17" i="12"/>
  <c r="Z17" i="16" s="1"/>
  <c r="Y17" i="12"/>
  <c r="X17" i="12"/>
  <c r="W17" i="12"/>
  <c r="V17" i="12"/>
  <c r="V17" i="16" s="1"/>
  <c r="U17" i="12"/>
  <c r="T17" i="12"/>
  <c r="S17" i="12"/>
  <c r="R17" i="12"/>
  <c r="R17" i="16" s="1"/>
  <c r="Q17" i="12"/>
  <c r="P17" i="12"/>
  <c r="O17" i="12"/>
  <c r="N17" i="12"/>
  <c r="N17" i="16" s="1"/>
  <c r="M17" i="12"/>
  <c r="L17" i="12"/>
  <c r="K17" i="12"/>
  <c r="J17" i="12"/>
  <c r="J17" i="16" s="1"/>
  <c r="I17" i="12"/>
  <c r="H17" i="12"/>
  <c r="G17" i="12"/>
  <c r="F17" i="12"/>
  <c r="F17" i="16" s="1"/>
  <c r="BA16" i="12"/>
  <c r="AZ16" i="12"/>
  <c r="AY16" i="12"/>
  <c r="AX16" i="12"/>
  <c r="AW16" i="12"/>
  <c r="AV16" i="12"/>
  <c r="AU16" i="12"/>
  <c r="AT16" i="12"/>
  <c r="AT16" i="16" s="1"/>
  <c r="AS16" i="12"/>
  <c r="AR16" i="12"/>
  <c r="AQ16" i="12"/>
  <c r="AP16" i="12"/>
  <c r="AP16" i="16" s="1"/>
  <c r="AO16" i="12"/>
  <c r="AN16" i="12"/>
  <c r="AM16" i="12"/>
  <c r="AL16" i="12"/>
  <c r="AL16" i="16" s="1"/>
  <c r="AK16" i="12"/>
  <c r="AJ16" i="12"/>
  <c r="AI16" i="12"/>
  <c r="AH16" i="12"/>
  <c r="AH16" i="16" s="1"/>
  <c r="AG16" i="12"/>
  <c r="AF16" i="12"/>
  <c r="AE16" i="12"/>
  <c r="AD16" i="12"/>
  <c r="AD16" i="16" s="1"/>
  <c r="AC16" i="12"/>
  <c r="AB16" i="12"/>
  <c r="AA16" i="12"/>
  <c r="Z16" i="12"/>
  <c r="Z151" i="12" s="1"/>
  <c r="Y16" i="12"/>
  <c r="Y151" i="12" s="1"/>
  <c r="X16" i="12"/>
  <c r="X16" i="16" s="1"/>
  <c r="W16" i="12"/>
  <c r="V16" i="12"/>
  <c r="V16" i="16" s="1"/>
  <c r="U16" i="12"/>
  <c r="T16" i="12"/>
  <c r="S16" i="12"/>
  <c r="R16" i="12"/>
  <c r="R16" i="16" s="1"/>
  <c r="Q16" i="12"/>
  <c r="P16" i="12"/>
  <c r="O16" i="12"/>
  <c r="N16" i="12"/>
  <c r="N16" i="16" s="1"/>
  <c r="M16" i="12"/>
  <c r="L16" i="12"/>
  <c r="K16" i="12"/>
  <c r="J16" i="12"/>
  <c r="J16" i="16" s="1"/>
  <c r="I16" i="12"/>
  <c r="I16" i="16" s="1"/>
  <c r="H16" i="12"/>
  <c r="G16" i="12"/>
  <c r="F16" i="12"/>
  <c r="F16" i="16" s="1"/>
  <c r="BA15" i="12"/>
  <c r="AZ15" i="12"/>
  <c r="AY15" i="12"/>
  <c r="AX15" i="12"/>
  <c r="AX15" i="16" s="1"/>
  <c r="AY268" i="16" s="1"/>
  <c r="AW15" i="12"/>
  <c r="AV15" i="12"/>
  <c r="AU15" i="12"/>
  <c r="AT15" i="12"/>
  <c r="AT15" i="16" s="1"/>
  <c r="AU268" i="16" s="1"/>
  <c r="AS15" i="12"/>
  <c r="AR15" i="12"/>
  <c r="AQ15" i="12"/>
  <c r="AP15" i="12"/>
  <c r="AP15" i="16" s="1"/>
  <c r="AQ268" i="16" s="1"/>
  <c r="AO15" i="12"/>
  <c r="AN15" i="12"/>
  <c r="AM15" i="12"/>
  <c r="AL15" i="12"/>
  <c r="AL15" i="16" s="1"/>
  <c r="AM268" i="16" s="1"/>
  <c r="AK15" i="12"/>
  <c r="AJ15" i="12"/>
  <c r="AI15" i="12"/>
  <c r="AH15" i="12"/>
  <c r="AH15" i="16" s="1"/>
  <c r="AI268" i="16" s="1"/>
  <c r="AG15" i="12"/>
  <c r="AF15" i="12"/>
  <c r="AE15" i="12"/>
  <c r="AD15" i="12"/>
  <c r="AD15" i="16" s="1"/>
  <c r="AE268" i="16" s="1"/>
  <c r="AC15" i="12"/>
  <c r="AB15" i="12"/>
  <c r="AB15" i="16" s="1"/>
  <c r="AA15" i="12"/>
  <c r="Z15" i="12"/>
  <c r="Y15" i="12"/>
  <c r="X15" i="12"/>
  <c r="W15" i="12"/>
  <c r="V15" i="12"/>
  <c r="V15" i="16" s="1"/>
  <c r="U15" i="12"/>
  <c r="T15" i="12"/>
  <c r="S15" i="12"/>
  <c r="R15" i="12"/>
  <c r="R15" i="16" s="1"/>
  <c r="R268" i="16" s="1"/>
  <c r="Q15" i="12"/>
  <c r="P15" i="12"/>
  <c r="O15" i="12"/>
  <c r="N15" i="12"/>
  <c r="N15" i="16" s="1"/>
  <c r="M15" i="12"/>
  <c r="L15" i="12"/>
  <c r="K15" i="12"/>
  <c r="J15" i="12"/>
  <c r="J15" i="16" s="1"/>
  <c r="J67" i="16" s="1"/>
  <c r="J51" i="17" s="1"/>
  <c r="I15" i="12"/>
  <c r="H15" i="12"/>
  <c r="G15" i="12"/>
  <c r="F15" i="12"/>
  <c r="F15" i="16" s="1"/>
  <c r="BA14" i="12"/>
  <c r="AZ14" i="12"/>
  <c r="AY14" i="12"/>
  <c r="AX14" i="12"/>
  <c r="AX14" i="16" s="1"/>
  <c r="AW14" i="12"/>
  <c r="AV14" i="12"/>
  <c r="AU14" i="12"/>
  <c r="AT14" i="12"/>
  <c r="AT14" i="16" s="1"/>
  <c r="AS14" i="12"/>
  <c r="AR14" i="12"/>
  <c r="AQ14" i="12"/>
  <c r="AP14" i="12"/>
  <c r="AP14" i="16" s="1"/>
  <c r="AO14" i="12"/>
  <c r="AN14" i="12"/>
  <c r="AM14" i="12"/>
  <c r="AL14" i="12"/>
  <c r="AL14" i="16" s="1"/>
  <c r="AK14" i="12"/>
  <c r="AJ14" i="12"/>
  <c r="AI14" i="12"/>
  <c r="AH14" i="12"/>
  <c r="AH14" i="16" s="1"/>
  <c r="AG14" i="12"/>
  <c r="AF14" i="12"/>
  <c r="AE14" i="12"/>
  <c r="AD14" i="12"/>
  <c r="AD14" i="16" s="1"/>
  <c r="AC14" i="12"/>
  <c r="AB14" i="12"/>
  <c r="AA14" i="12"/>
  <c r="Z14" i="12"/>
  <c r="Z14" i="16" s="1"/>
  <c r="Y14" i="12"/>
  <c r="X14" i="12"/>
  <c r="W14" i="12"/>
  <c r="V14" i="12"/>
  <c r="V14" i="16" s="1"/>
  <c r="U14" i="12"/>
  <c r="T14" i="12"/>
  <c r="S14" i="12"/>
  <c r="R14" i="12"/>
  <c r="R14" i="16" s="1"/>
  <c r="Q14" i="12"/>
  <c r="P14" i="12"/>
  <c r="O14" i="12"/>
  <c r="O14" i="16" s="1"/>
  <c r="N14" i="12"/>
  <c r="N14" i="16" s="1"/>
  <c r="M14" i="12"/>
  <c r="L14" i="12"/>
  <c r="K14" i="12"/>
  <c r="J14" i="12"/>
  <c r="I14" i="12"/>
  <c r="H14" i="12"/>
  <c r="G14" i="12"/>
  <c r="F14" i="12"/>
  <c r="F14" i="16" s="1"/>
  <c r="BA13" i="12"/>
  <c r="AZ13" i="12"/>
  <c r="AY13" i="12"/>
  <c r="AX13" i="12"/>
  <c r="AX13" i="16" s="1"/>
  <c r="AW13" i="12"/>
  <c r="AV13" i="12"/>
  <c r="AU13" i="12"/>
  <c r="AT13" i="12"/>
  <c r="AT13" i="16" s="1"/>
  <c r="AS13" i="12"/>
  <c r="AR13" i="12"/>
  <c r="AQ13" i="12"/>
  <c r="AP13" i="12"/>
  <c r="AP13" i="16" s="1"/>
  <c r="AO13" i="12"/>
  <c r="AN13" i="12"/>
  <c r="AM13" i="12"/>
  <c r="AL13" i="12"/>
  <c r="AL13" i="16" s="1"/>
  <c r="AK13" i="12"/>
  <c r="AJ13" i="12"/>
  <c r="AI13" i="12"/>
  <c r="AH13" i="12"/>
  <c r="AH13" i="16" s="1"/>
  <c r="AG13" i="12"/>
  <c r="AF13" i="12"/>
  <c r="AE13" i="12"/>
  <c r="AD13" i="12"/>
  <c r="AD13" i="16" s="1"/>
  <c r="AC13" i="12"/>
  <c r="AB13" i="12"/>
  <c r="AA13" i="12"/>
  <c r="Z13" i="12"/>
  <c r="Z13" i="16" s="1"/>
  <c r="Y13" i="12"/>
  <c r="X13" i="12"/>
  <c r="W13" i="12"/>
  <c r="V13" i="12"/>
  <c r="V13" i="16" s="1"/>
  <c r="U13" i="12"/>
  <c r="T13" i="12"/>
  <c r="S13" i="12"/>
  <c r="R13" i="12"/>
  <c r="R13" i="16" s="1"/>
  <c r="Q13" i="12"/>
  <c r="P13" i="12"/>
  <c r="O13" i="12"/>
  <c r="N13" i="12"/>
  <c r="N13" i="16" s="1"/>
  <c r="M13" i="12"/>
  <c r="L13" i="12"/>
  <c r="K13" i="12"/>
  <c r="J13" i="12"/>
  <c r="J13" i="16" s="1"/>
  <c r="I13" i="12"/>
  <c r="H13" i="12"/>
  <c r="G13" i="12"/>
  <c r="F13" i="12"/>
  <c r="F13" i="16" s="1"/>
  <c r="BA12" i="12"/>
  <c r="AZ12" i="12"/>
  <c r="AY12" i="12"/>
  <c r="AX12" i="12"/>
  <c r="AX12" i="16" s="1"/>
  <c r="AW12" i="12"/>
  <c r="AV12" i="12"/>
  <c r="AU12" i="12"/>
  <c r="AT12" i="12"/>
  <c r="AT12" i="16" s="1"/>
  <c r="AS12" i="12"/>
  <c r="AR12" i="12"/>
  <c r="AQ12" i="12"/>
  <c r="AP12" i="12"/>
  <c r="AO12" i="12"/>
  <c r="AN12" i="12"/>
  <c r="AM12" i="12"/>
  <c r="AL12" i="12"/>
  <c r="AL12" i="16" s="1"/>
  <c r="AK12" i="12"/>
  <c r="AJ12" i="12"/>
  <c r="AI12" i="12"/>
  <c r="AH12" i="12"/>
  <c r="AH12" i="16" s="1"/>
  <c r="AG12" i="12"/>
  <c r="AF12" i="12"/>
  <c r="AE12" i="12"/>
  <c r="AD12" i="12"/>
  <c r="AD12" i="16" s="1"/>
  <c r="AC12" i="12"/>
  <c r="AB12" i="12"/>
  <c r="AA12" i="12"/>
  <c r="Z12" i="12"/>
  <c r="Z12" i="16" s="1"/>
  <c r="Y12" i="12"/>
  <c r="X12" i="12"/>
  <c r="W12" i="12"/>
  <c r="V12" i="12"/>
  <c r="V12" i="16" s="1"/>
  <c r="U12" i="12"/>
  <c r="T12" i="12"/>
  <c r="S12" i="12"/>
  <c r="R12" i="12"/>
  <c r="R12" i="16" s="1"/>
  <c r="Q12" i="12"/>
  <c r="P12" i="12"/>
  <c r="O12" i="12"/>
  <c r="N12" i="12"/>
  <c r="N12" i="16" s="1"/>
  <c r="N11" i="16" s="1"/>
  <c r="N147" i="16" s="1"/>
  <c r="M12" i="12"/>
  <c r="L12" i="12"/>
  <c r="K12" i="12"/>
  <c r="J12" i="12"/>
  <c r="J12" i="16" s="1"/>
  <c r="I12" i="12"/>
  <c r="H12" i="12"/>
  <c r="G12" i="12"/>
  <c r="F12" i="12"/>
  <c r="F12" i="16" s="1"/>
  <c r="BA11" i="12"/>
  <c r="AZ11" i="12"/>
  <c r="AY11" i="12"/>
  <c r="AX11" i="12"/>
  <c r="AX11" i="16" s="1"/>
  <c r="AX220" i="16" s="1"/>
  <c r="AW11" i="12"/>
  <c r="AV11" i="12"/>
  <c r="AU11" i="12"/>
  <c r="AT11" i="12"/>
  <c r="AT11" i="16" s="1"/>
  <c r="AS11" i="12"/>
  <c r="AR11" i="12"/>
  <c r="AQ11" i="12"/>
  <c r="AP11" i="12"/>
  <c r="AP11" i="16" s="1"/>
  <c r="AO11" i="12"/>
  <c r="AN11" i="12"/>
  <c r="AM11" i="12"/>
  <c r="AL11" i="12"/>
  <c r="AL11" i="16" s="1"/>
  <c r="AK11" i="12"/>
  <c r="AJ11" i="12"/>
  <c r="AI11" i="12"/>
  <c r="AH11" i="12"/>
  <c r="AH11" i="16" s="1"/>
  <c r="AG11" i="12"/>
  <c r="AF11" i="12"/>
  <c r="AE11" i="12"/>
  <c r="AD11" i="12"/>
  <c r="AD11" i="16" s="1"/>
  <c r="AC11" i="12"/>
  <c r="AB11" i="12"/>
  <c r="AA11" i="12"/>
  <c r="Z11" i="12"/>
  <c r="Z267" i="12" s="1"/>
  <c r="Y11" i="12"/>
  <c r="X11" i="12"/>
  <c r="W11" i="12"/>
  <c r="V11" i="12"/>
  <c r="V11" i="16" s="1"/>
  <c r="U11" i="12"/>
  <c r="T11" i="12"/>
  <c r="S11" i="12"/>
  <c r="R11" i="12"/>
  <c r="R11" i="16" s="1"/>
  <c r="Q11" i="12"/>
  <c r="P11" i="12"/>
  <c r="O11" i="12"/>
  <c r="N11" i="12"/>
  <c r="N267" i="12" s="1"/>
  <c r="M11" i="12"/>
  <c r="L11" i="12"/>
  <c r="K11" i="12"/>
  <c r="J11" i="12"/>
  <c r="J11" i="16" s="1"/>
  <c r="I11" i="12"/>
  <c r="H11" i="12"/>
  <c r="G11" i="12"/>
  <c r="F11" i="12"/>
  <c r="F11" i="16" s="1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N218" i="12" s="1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Z266" i="12" s="1"/>
  <c r="Y10" i="12"/>
  <c r="X10" i="12"/>
  <c r="W10" i="12"/>
  <c r="V10" i="12"/>
  <c r="V266" i="12" s="1"/>
  <c r="U10" i="12"/>
  <c r="T10" i="12"/>
  <c r="S10" i="12"/>
  <c r="R10" i="12"/>
  <c r="R266" i="12" s="1"/>
  <c r="Q10" i="12"/>
  <c r="P10" i="12"/>
  <c r="O10" i="12"/>
  <c r="N10" i="12"/>
  <c r="M10" i="12"/>
  <c r="L10" i="12"/>
  <c r="K10" i="12"/>
  <c r="J10" i="12"/>
  <c r="J10" i="16" s="1"/>
  <c r="I10" i="12"/>
  <c r="H10" i="12"/>
  <c r="G10" i="12"/>
  <c r="G10" i="16" s="1"/>
  <c r="F10" i="12"/>
  <c r="F10" i="16" s="1"/>
  <c r="N4" i="9"/>
  <c r="N3" i="9"/>
  <c r="B2" i="30"/>
  <c r="N122" i="12"/>
  <c r="N121" i="12"/>
  <c r="N120" i="12"/>
  <c r="J122" i="12"/>
  <c r="J121" i="12"/>
  <c r="J120" i="12"/>
  <c r="F122" i="12"/>
  <c r="F121" i="12"/>
  <c r="F120" i="12"/>
  <c r="M122" i="16"/>
  <c r="M121" i="16"/>
  <c r="M120" i="16"/>
  <c r="J122" i="16"/>
  <c r="J121" i="16"/>
  <c r="J120" i="16"/>
  <c r="F120" i="16"/>
  <c r="F121" i="16"/>
  <c r="F122" i="16"/>
  <c r="F47" i="17"/>
  <c r="G47" i="17"/>
  <c r="H47" i="17"/>
  <c r="I47" i="17"/>
  <c r="F50" i="17"/>
  <c r="G50" i="17"/>
  <c r="H50" i="17"/>
  <c r="I50" i="17"/>
  <c r="F53" i="17"/>
  <c r="G53" i="17"/>
  <c r="H53" i="17"/>
  <c r="I53" i="17"/>
  <c r="F54" i="17"/>
  <c r="G54" i="17"/>
  <c r="H54" i="17"/>
  <c r="I54" i="17"/>
  <c r="F55" i="17"/>
  <c r="G55" i="17"/>
  <c r="H55" i="17"/>
  <c r="I55" i="17"/>
  <c r="F56" i="17"/>
  <c r="G56" i="17"/>
  <c r="H56" i="17"/>
  <c r="I56" i="17"/>
  <c r="F59" i="17"/>
  <c r="G59" i="17"/>
  <c r="H59" i="17"/>
  <c r="I59" i="17"/>
  <c r="F62" i="17"/>
  <c r="G62" i="17"/>
  <c r="H62" i="17"/>
  <c r="I62" i="17"/>
  <c r="F65" i="17"/>
  <c r="G65" i="17"/>
  <c r="H65" i="17"/>
  <c r="I65" i="17"/>
  <c r="F66" i="17"/>
  <c r="G66" i="17"/>
  <c r="H66" i="17"/>
  <c r="I66" i="17"/>
  <c r="F67" i="17"/>
  <c r="G67" i="17"/>
  <c r="H67" i="17"/>
  <c r="I67" i="17"/>
  <c r="F68" i="17"/>
  <c r="G68" i="17"/>
  <c r="H68" i="17"/>
  <c r="I68" i="17"/>
  <c r="F4" i="17"/>
  <c r="G4" i="17"/>
  <c r="H4" i="17"/>
  <c r="I4" i="17"/>
  <c r="F12" i="17"/>
  <c r="G12" i="17"/>
  <c r="H12" i="17"/>
  <c r="I12" i="17"/>
  <c r="F18" i="17"/>
  <c r="G18" i="17"/>
  <c r="H18" i="17"/>
  <c r="H35" i="16" s="1"/>
  <c r="I18" i="17"/>
  <c r="F24" i="17"/>
  <c r="G24" i="17"/>
  <c r="H24" i="17"/>
  <c r="H46" i="16" s="1"/>
  <c r="I24" i="17"/>
  <c r="F31" i="17"/>
  <c r="G31" i="17"/>
  <c r="H31" i="17"/>
  <c r="I31" i="17"/>
  <c r="F38" i="17"/>
  <c r="G38" i="17"/>
  <c r="H38" i="17"/>
  <c r="I38" i="17"/>
  <c r="E196" i="12"/>
  <c r="AP12" i="17"/>
  <c r="AK12" i="17"/>
  <c r="E196" i="16"/>
  <c r="M59" i="17"/>
  <c r="L59" i="17"/>
  <c r="K59" i="17"/>
  <c r="J59" i="17"/>
  <c r="M47" i="17"/>
  <c r="L47" i="17"/>
  <c r="K47" i="17"/>
  <c r="J47" i="17"/>
  <c r="AP31" i="17"/>
  <c r="AL31" i="17"/>
  <c r="AK31" i="17"/>
  <c r="AJ31" i="17"/>
  <c r="AI31" i="17"/>
  <c r="M31" i="17"/>
  <c r="L31" i="17"/>
  <c r="K31" i="17"/>
  <c r="J31" i="17"/>
  <c r="L24" i="17"/>
  <c r="AP24" i="17"/>
  <c r="AM24" i="17"/>
  <c r="AK24" i="17"/>
  <c r="AH24" i="17"/>
  <c r="AN18" i="17"/>
  <c r="AJ18" i="17"/>
  <c r="AO12" i="17"/>
  <c r="AJ12" i="17"/>
  <c r="K12" i="17"/>
  <c r="J12" i="17"/>
  <c r="K4" i="17"/>
  <c r="AL4" i="17"/>
  <c r="AQ4" i="17"/>
  <c r="AO4" i="17"/>
  <c r="AN4" i="17"/>
  <c r="AH4" i="17"/>
  <c r="AA31" i="17"/>
  <c r="Y31" i="17"/>
  <c r="X31" i="17"/>
  <c r="W31" i="17"/>
  <c r="U31" i="17"/>
  <c r="S31" i="17"/>
  <c r="R31" i="17"/>
  <c r="Q31" i="17"/>
  <c r="O31" i="17"/>
  <c r="Y24" i="17"/>
  <c r="X24" i="17"/>
  <c r="W24" i="17"/>
  <c r="U24" i="17"/>
  <c r="T24" i="17"/>
  <c r="E7" i="12"/>
  <c r="E5" i="12"/>
  <c r="E4" i="12"/>
  <c r="BA181" i="16"/>
  <c r="AZ181" i="16"/>
  <c r="AY181" i="16"/>
  <c r="AX181" i="16"/>
  <c r="AW181" i="16"/>
  <c r="AV181" i="16"/>
  <c r="AU181" i="16"/>
  <c r="AT181" i="16"/>
  <c r="AS181" i="16"/>
  <c r="AR181" i="16"/>
  <c r="AQ181" i="16"/>
  <c r="AP181" i="16"/>
  <c r="AO181" i="16"/>
  <c r="AN181" i="16"/>
  <c r="AM181" i="16"/>
  <c r="AL181" i="16"/>
  <c r="AK181" i="16"/>
  <c r="AJ181" i="16"/>
  <c r="AI181" i="16"/>
  <c r="AH181" i="16"/>
  <c r="AG181" i="16"/>
  <c r="AF181" i="16"/>
  <c r="AE181" i="16"/>
  <c r="AD181" i="16"/>
  <c r="AC181" i="16"/>
  <c r="AB181" i="16"/>
  <c r="AA181" i="16"/>
  <c r="Z181" i="16"/>
  <c r="Y181" i="16"/>
  <c r="X181" i="16"/>
  <c r="W181" i="16"/>
  <c r="V181" i="16"/>
  <c r="U181" i="16"/>
  <c r="T181" i="16"/>
  <c r="S181" i="16"/>
  <c r="R181" i="16"/>
  <c r="Q181" i="16"/>
  <c r="P181" i="16"/>
  <c r="O181" i="16"/>
  <c r="E116" i="8"/>
  <c r="D116" i="8"/>
  <c r="E115" i="8"/>
  <c r="D115" i="8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F19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G12" i="8"/>
  <c r="E12" i="8"/>
  <c r="D12" i="8"/>
  <c r="E11" i="8"/>
  <c r="D11" i="8"/>
  <c r="F4" i="8"/>
  <c r="F3" i="8"/>
  <c r="AL24" i="17"/>
  <c r="AQ38" i="17"/>
  <c r="AP38" i="17"/>
  <c r="AO38" i="17"/>
  <c r="AN38" i="17"/>
  <c r="AM38" i="17"/>
  <c r="AL38" i="17"/>
  <c r="AK38" i="17"/>
  <c r="AJ38" i="17"/>
  <c r="AI38" i="17"/>
  <c r="AH38" i="17"/>
  <c r="AQ31" i="17"/>
  <c r="AO31" i="17"/>
  <c r="AM31" i="17"/>
  <c r="AH31" i="17"/>
  <c r="AQ24" i="17"/>
  <c r="AO24" i="17"/>
  <c r="AI24" i="17"/>
  <c r="AQ18" i="17"/>
  <c r="AO18" i="17"/>
  <c r="AK18" i="17"/>
  <c r="M68" i="17"/>
  <c r="L68" i="17"/>
  <c r="K68" i="17"/>
  <c r="M67" i="17"/>
  <c r="L67" i="17"/>
  <c r="K67" i="17"/>
  <c r="M66" i="17"/>
  <c r="L66" i="17"/>
  <c r="K66" i="17"/>
  <c r="M65" i="17"/>
  <c r="L65" i="17"/>
  <c r="K65" i="17"/>
  <c r="M62" i="17"/>
  <c r="L62" i="17"/>
  <c r="K62" i="17"/>
  <c r="J68" i="17"/>
  <c r="J67" i="17"/>
  <c r="J66" i="17"/>
  <c r="J65" i="17"/>
  <c r="J62" i="17"/>
  <c r="J50" i="17"/>
  <c r="J53" i="17"/>
  <c r="J54" i="17"/>
  <c r="J55" i="17"/>
  <c r="J56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0" i="17"/>
  <c r="L50" i="17"/>
  <c r="K50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M24" i="17"/>
  <c r="K24" i="17"/>
  <c r="K18" i="17"/>
  <c r="M12" i="17"/>
  <c r="D10" i="8"/>
  <c r="E10" i="8"/>
  <c r="N2" i="9"/>
  <c r="Q1" i="16" s="1"/>
  <c r="F9" i="8"/>
  <c r="F36" i="8" s="1"/>
  <c r="F11" i="8"/>
  <c r="N1" i="9"/>
  <c r="G9" i="8"/>
  <c r="G44" i="8" s="1"/>
  <c r="AJ24" i="17"/>
  <c r="G35" i="8"/>
  <c r="G30" i="8"/>
  <c r="G112" i="8"/>
  <c r="G110" i="8"/>
  <c r="G116" i="8"/>
  <c r="G101" i="8"/>
  <c r="G115" i="8"/>
  <c r="G108" i="8"/>
  <c r="G107" i="8"/>
  <c r="G114" i="8"/>
  <c r="G98" i="8"/>
  <c r="G97" i="8"/>
  <c r="G106" i="8"/>
  <c r="G96" i="8"/>
  <c r="G104" i="8"/>
  <c r="G103" i="8"/>
  <c r="G94" i="8"/>
  <c r="G105" i="8"/>
  <c r="G93" i="8"/>
  <c r="G86" i="8"/>
  <c r="G85" i="8"/>
  <c r="G91" i="8"/>
  <c r="G87" i="8"/>
  <c r="G80" i="8"/>
  <c r="G92" i="8"/>
  <c r="G88" i="8"/>
  <c r="G99" i="8"/>
  <c r="G83" i="8"/>
  <c r="G78" i="8"/>
  <c r="G77" i="8"/>
  <c r="G84" i="8"/>
  <c r="G76" i="8"/>
  <c r="G62" i="8"/>
  <c r="G75" i="8"/>
  <c r="G65" i="8"/>
  <c r="G72" i="8"/>
  <c r="G69" i="8"/>
  <c r="G61" i="8"/>
  <c r="G73" i="8"/>
  <c r="G64" i="8"/>
  <c r="G63" i="8"/>
  <c r="G71" i="8"/>
  <c r="G60" i="8"/>
  <c r="G58" i="8"/>
  <c r="G41" i="8"/>
  <c r="G33" i="8"/>
  <c r="G74" i="8"/>
  <c r="G48" i="8"/>
  <c r="G40" i="8"/>
  <c r="G47" i="8"/>
  <c r="G31" i="8"/>
  <c r="G67" i="8"/>
  <c r="G56" i="8"/>
  <c r="G46" i="8"/>
  <c r="G59" i="8"/>
  <c r="G57" i="8"/>
  <c r="G38" i="8"/>
  <c r="G25" i="8"/>
  <c r="G17" i="8"/>
  <c r="G24" i="8"/>
  <c r="G16" i="8"/>
  <c r="G66" i="8"/>
  <c r="G37" i="8"/>
  <c r="G32" i="8"/>
  <c r="G23" i="8"/>
  <c r="G34" i="8"/>
  <c r="G22" i="8"/>
  <c r="G14" i="8"/>
  <c r="G36" i="8"/>
  <c r="G21" i="8"/>
  <c r="G13" i="8"/>
  <c r="G29" i="8"/>
  <c r="G27" i="8"/>
  <c r="G19" i="8"/>
  <c r="G10" i="8"/>
  <c r="G43" i="8"/>
  <c r="F12" i="8"/>
  <c r="F20" i="8"/>
  <c r="F28" i="8"/>
  <c r="F57" i="8"/>
  <c r="F14" i="8"/>
  <c r="F22" i="8"/>
  <c r="F45" i="8"/>
  <c r="F61" i="8"/>
  <c r="F15" i="8"/>
  <c r="F23" i="8"/>
  <c r="F33" i="8"/>
  <c r="F37" i="8"/>
  <c r="F16" i="8"/>
  <c r="F24" i="8"/>
  <c r="F114" i="8"/>
  <c r="F113" i="8"/>
  <c r="F105" i="8"/>
  <c r="F111" i="8"/>
  <c r="F110" i="8"/>
  <c r="F102" i="8"/>
  <c r="F116" i="8"/>
  <c r="F109" i="8"/>
  <c r="F101" i="8"/>
  <c r="F115" i="8"/>
  <c r="F108" i="8"/>
  <c r="F99" i="8"/>
  <c r="F91" i="8"/>
  <c r="F98" i="8"/>
  <c r="F112" i="8"/>
  <c r="F107" i="8"/>
  <c r="F97" i="8"/>
  <c r="F106" i="8"/>
  <c r="F100" i="8"/>
  <c r="F96" i="8"/>
  <c r="F95" i="8"/>
  <c r="F103" i="8"/>
  <c r="F94" i="8"/>
  <c r="F92" i="8"/>
  <c r="F87" i="8"/>
  <c r="F79" i="8"/>
  <c r="F93" i="8"/>
  <c r="F86" i="8"/>
  <c r="F90" i="8"/>
  <c r="F81" i="8"/>
  <c r="F80" i="8"/>
  <c r="F72" i="8"/>
  <c r="F88" i="8"/>
  <c r="F82" i="8"/>
  <c r="F83" i="8"/>
  <c r="F78" i="8"/>
  <c r="F84" i="8"/>
  <c r="F85" i="8"/>
  <c r="F71" i="8"/>
  <c r="F63" i="8"/>
  <c r="F76" i="8"/>
  <c r="F70" i="8"/>
  <c r="F104" i="8"/>
  <c r="F66" i="8"/>
  <c r="F56" i="8"/>
  <c r="F55" i="8"/>
  <c r="F75" i="8"/>
  <c r="F73" i="8"/>
  <c r="F65" i="8"/>
  <c r="F64" i="8"/>
  <c r="F53" i="8"/>
  <c r="F52" i="8"/>
  <c r="F50" i="8"/>
  <c r="F42" i="8"/>
  <c r="F34" i="8"/>
  <c r="F60" i="8"/>
  <c r="F58" i="8"/>
  <c r="F49" i="8"/>
  <c r="F41" i="8"/>
  <c r="F77" i="8"/>
  <c r="F74" i="8"/>
  <c r="F69" i="8"/>
  <c r="F68" i="8"/>
  <c r="F48" i="8"/>
  <c r="F40" i="8"/>
  <c r="F32" i="8"/>
  <c r="F89" i="8"/>
  <c r="F47" i="8"/>
  <c r="F67" i="8"/>
  <c r="F51" i="8"/>
  <c r="F46" i="8"/>
  <c r="F62" i="8"/>
  <c r="F44" i="8"/>
  <c r="F17" i="8"/>
  <c r="F25" i="8"/>
  <c r="F31" i="8"/>
  <c r="F38" i="8"/>
  <c r="F59" i="8"/>
  <c r="F18" i="8"/>
  <c r="F26" i="8"/>
  <c r="F30" i="8"/>
  <c r="F35" i="8"/>
  <c r="F43" i="8"/>
  <c r="H9" i="8"/>
  <c r="G18" i="8"/>
  <c r="G20" i="8"/>
  <c r="F10" i="8"/>
  <c r="F27" i="8"/>
  <c r="F29" i="8"/>
  <c r="F13" i="8"/>
  <c r="F54" i="8"/>
  <c r="F21" i="8"/>
  <c r="F39" i="8"/>
  <c r="H42" i="8"/>
  <c r="H85" i="8"/>
  <c r="H83" i="8"/>
  <c r="H66" i="8"/>
  <c r="H53" i="8"/>
  <c r="H43" i="8"/>
  <c r="H17" i="8"/>
  <c r="H98" i="8"/>
  <c r="H69" i="8"/>
  <c r="H54" i="8"/>
  <c r="H15" i="8"/>
  <c r="H13" i="8"/>
  <c r="H113" i="8"/>
  <c r="H86" i="8"/>
  <c r="H60" i="8"/>
  <c r="H51" i="8"/>
  <c r="H26" i="8"/>
  <c r="H109" i="8"/>
  <c r="H97" i="8"/>
  <c r="H93" i="8"/>
  <c r="H55" i="8"/>
  <c r="H31" i="8"/>
  <c r="H18" i="8"/>
  <c r="H89" i="8"/>
  <c r="H102" i="8"/>
  <c r="H71" i="8"/>
  <c r="H48" i="8"/>
  <c r="H24" i="8"/>
  <c r="H108" i="8"/>
  <c r="H105" i="8"/>
  <c r="H36" i="8"/>
  <c r="H92" i="8"/>
  <c r="H20" i="8"/>
  <c r="H107" i="8"/>
  <c r="H12" i="8"/>
  <c r="H76" i="8"/>
  <c r="H67" i="8"/>
  <c r="H40" i="8"/>
  <c r="H37" i="8"/>
  <c r="H112" i="8"/>
  <c r="H101" i="8"/>
  <c r="H99" i="8"/>
  <c r="H82" i="8"/>
  <c r="H49" i="8"/>
  <c r="H74" i="8"/>
  <c r="H68" i="8"/>
  <c r="AH18" i="17"/>
  <c r="J18" i="17"/>
  <c r="AA24" i="17"/>
  <c r="S24" i="17"/>
  <c r="AD31" i="17"/>
  <c r="Z24" i="17"/>
  <c r="AE24" i="17"/>
  <c r="L4" i="17"/>
  <c r="AG31" i="17"/>
  <c r="AD24" i="17"/>
  <c r="N24" i="17"/>
  <c r="Q4" i="17"/>
  <c r="N2" i="17"/>
  <c r="N58" i="17" s="1"/>
  <c r="N9" i="16"/>
  <c r="N3" i="33" s="1"/>
  <c r="N9" i="12"/>
  <c r="N265" i="12" s="1"/>
  <c r="AJ4" i="17"/>
  <c r="W18" i="17"/>
  <c r="P31" i="17"/>
  <c r="P24" i="17"/>
  <c r="AC24" i="17"/>
  <c r="O24" i="17"/>
  <c r="AE31" i="17"/>
  <c r="AD18" i="17"/>
  <c r="P18" i="17"/>
  <c r="AQ12" i="17"/>
  <c r="AG24" i="17"/>
  <c r="AI4" i="17"/>
  <c r="AN12" i="17"/>
  <c r="L18" i="17"/>
  <c r="AN24" i="17"/>
  <c r="J24" i="17"/>
  <c r="AN31" i="17"/>
  <c r="V31" i="17"/>
  <c r="R24" i="17"/>
  <c r="AP4" i="17"/>
  <c r="N31" i="17"/>
  <c r="N12" i="17"/>
  <c r="AG18" i="17"/>
  <c r="AA4" i="17"/>
  <c r="N4" i="17"/>
  <c r="AB31" i="17"/>
  <c r="AF31" i="17"/>
  <c r="N18" i="17"/>
  <c r="V4" i="17"/>
  <c r="O18" i="17"/>
  <c r="J4" i="17"/>
  <c r="AL18" i="17"/>
  <c r="AI12" i="17"/>
  <c r="AL12" i="17"/>
  <c r="AI18" i="17"/>
  <c r="M4" i="17"/>
  <c r="L12" i="17"/>
  <c r="AK4" i="17"/>
  <c r="AP18" i="17"/>
  <c r="T18" i="17"/>
  <c r="Q24" i="17"/>
  <c r="O4" i="17"/>
  <c r="AG12" i="17"/>
  <c r="V18" i="17"/>
  <c r="Z31" i="17"/>
  <c r="AB24" i="17"/>
  <c r="AC31" i="17"/>
  <c r="AG4" i="17"/>
  <c r="AF4" i="17"/>
  <c r="Q18" i="17"/>
  <c r="AC12" i="17"/>
  <c r="R4" i="17"/>
  <c r="X18" i="17"/>
  <c r="U18" i="17"/>
  <c r="AD12" i="17"/>
  <c r="Z18" i="17"/>
  <c r="AC4" i="17"/>
  <c r="AB12" i="17"/>
  <c r="U4" i="17"/>
  <c r="AB4" i="17"/>
  <c r="X4" i="17"/>
  <c r="AE12" i="17"/>
  <c r="R18" i="17"/>
  <c r="Z12" i="17"/>
  <c r="U12" i="17"/>
  <c r="R12" i="17"/>
  <c r="S18" i="17"/>
  <c r="Z4" i="17"/>
  <c r="AA18" i="17"/>
  <c r="AE18" i="17"/>
  <c r="V12" i="17"/>
  <c r="Y18" i="17"/>
  <c r="AE4" i="17"/>
  <c r="AF18" i="17"/>
  <c r="Y4" i="17"/>
  <c r="P4" i="17"/>
  <c r="AC18" i="17"/>
  <c r="W4" i="17"/>
  <c r="AB18" i="17"/>
  <c r="P12" i="17"/>
  <c r="Y12" i="17"/>
  <c r="AA12" i="17"/>
  <c r="AM18" i="17"/>
  <c r="N44" i="17"/>
  <c r="P44" i="17" s="1"/>
  <c r="M18" i="17"/>
  <c r="Q12" i="17"/>
  <c r="W12" i="17"/>
  <c r="AD4" i="17"/>
  <c r="T31" i="17"/>
  <c r="AF12" i="17"/>
  <c r="AF24" i="17"/>
  <c r="T12" i="17"/>
  <c r="T4" i="17"/>
  <c r="O12" i="17"/>
  <c r="S4" i="17"/>
  <c r="AH12" i="17"/>
  <c r="AM4" i="17"/>
  <c r="V24" i="17"/>
  <c r="O44" i="17"/>
  <c r="S12" i="17"/>
  <c r="X12" i="17"/>
  <c r="AM12" i="17"/>
  <c r="M9" i="12"/>
  <c r="M265" i="12" s="1"/>
  <c r="O9" i="12"/>
  <c r="N196" i="12"/>
  <c r="M215" i="12"/>
  <c r="N215" i="12"/>
  <c r="M249" i="12"/>
  <c r="N249" i="12"/>
  <c r="L1" i="15"/>
  <c r="O9" i="16"/>
  <c r="O3" i="33" s="1"/>
  <c r="N265" i="16"/>
  <c r="N196" i="16"/>
  <c r="N215" i="16"/>
  <c r="N249" i="16"/>
  <c r="M9" i="16"/>
  <c r="M215" i="16" s="1"/>
  <c r="O249" i="16"/>
  <c r="U180" i="16"/>
  <c r="AI180" i="16"/>
  <c r="P180" i="16"/>
  <c r="AA180" i="16"/>
  <c r="AJ180" i="16"/>
  <c r="U180" i="12"/>
  <c r="AS180" i="12"/>
  <c r="AD180" i="12"/>
  <c r="AQ180" i="16"/>
  <c r="AV180" i="16"/>
  <c r="AV180" i="12"/>
  <c r="AM180" i="12"/>
  <c r="AX180" i="12"/>
  <c r="AO180" i="16"/>
  <c r="AA180" i="12"/>
  <c r="T180" i="16"/>
  <c r="X180" i="16"/>
  <c r="Q180" i="12"/>
  <c r="AT180" i="12"/>
  <c r="AH180" i="12"/>
  <c r="AE180" i="16"/>
  <c r="AH180" i="16"/>
  <c r="AE180" i="12"/>
  <c r="BA180" i="16"/>
  <c r="AW180" i="16"/>
  <c r="BA180" i="12"/>
  <c r="AN180" i="16"/>
  <c r="R180" i="12"/>
  <c r="AX180" i="16"/>
  <c r="AG180" i="16"/>
  <c r="Z180" i="16"/>
  <c r="AO180" i="12"/>
  <c r="AJ180" i="12"/>
  <c r="P180" i="12"/>
  <c r="AR180" i="16"/>
  <c r="AZ180" i="12"/>
  <c r="AI180" i="12"/>
  <c r="AC180" i="12"/>
  <c r="V180" i="16"/>
  <c r="AK180" i="12"/>
  <c r="AB180" i="12"/>
  <c r="Y180" i="16"/>
  <c r="AF180" i="12"/>
  <c r="AK180" i="16"/>
  <c r="S180" i="16"/>
  <c r="X180" i="12"/>
  <c r="Y180" i="12"/>
  <c r="AG180" i="12"/>
  <c r="AQ180" i="12"/>
  <c r="AW180" i="12"/>
  <c r="R180" i="16"/>
  <c r="AC180" i="16"/>
  <c r="AB180" i="16"/>
  <c r="AL180" i="12"/>
  <c r="AU180" i="16"/>
  <c r="Q180" i="16"/>
  <c r="V180" i="12"/>
  <c r="AD180" i="16"/>
  <c r="T180" i="12"/>
  <c r="Z180" i="12"/>
  <c r="AZ180" i="16"/>
  <c r="O180" i="16"/>
  <c r="N180" i="16"/>
  <c r="AP180" i="16"/>
  <c r="AM180" i="16"/>
  <c r="O180" i="12"/>
  <c r="W180" i="12"/>
  <c r="AT180" i="16"/>
  <c r="S180" i="12"/>
  <c r="AS180" i="16"/>
  <c r="AY180" i="12"/>
  <c r="AF180" i="16"/>
  <c r="AP180" i="12"/>
  <c r="AU180" i="12"/>
  <c r="AY180" i="16"/>
  <c r="AR180" i="12"/>
  <c r="AL180" i="16"/>
  <c r="AN180" i="12"/>
  <c r="W180" i="16"/>
  <c r="N180" i="12"/>
  <c r="L10" i="16"/>
  <c r="AB11" i="16"/>
  <c r="AR12" i="16"/>
  <c r="L14" i="16"/>
  <c r="AR16" i="16"/>
  <c r="L18" i="16"/>
  <c r="AB19" i="16"/>
  <c r="AC270" i="16" s="1"/>
  <c r="AR20" i="16"/>
  <c r="AR207" i="16" s="1"/>
  <c r="L22" i="16"/>
  <c r="AB23" i="16"/>
  <c r="AR24" i="16"/>
  <c r="L26" i="16"/>
  <c r="L205" i="16" s="1"/>
  <c r="AB27" i="16"/>
  <c r="AR28" i="16"/>
  <c r="L30" i="16"/>
  <c r="AB31" i="16"/>
  <c r="AR11" i="16"/>
  <c r="L13" i="16"/>
  <c r="AB14" i="16"/>
  <c r="AR15" i="16"/>
  <c r="AS268" i="16" s="1"/>
  <c r="L17" i="16"/>
  <c r="AB18" i="16"/>
  <c r="AR19" i="16"/>
  <c r="AS270" i="16" s="1"/>
  <c r="AB22" i="16"/>
  <c r="AB156" i="16" s="1"/>
  <c r="AR23" i="16"/>
  <c r="AS273" i="16" s="1"/>
  <c r="L25" i="16"/>
  <c r="AB26" i="16"/>
  <c r="AR27" i="16"/>
  <c r="L29" i="16"/>
  <c r="AB30" i="16"/>
  <c r="L12" i="16"/>
  <c r="AB13" i="16"/>
  <c r="AR14" i="16"/>
  <c r="L16" i="16"/>
  <c r="AB17" i="16"/>
  <c r="AR18" i="16"/>
  <c r="L20" i="16"/>
  <c r="L207" i="16" s="1"/>
  <c r="AR22" i="16"/>
  <c r="L24" i="16"/>
  <c r="AB25" i="16"/>
  <c r="AR26" i="16"/>
  <c r="L28" i="16"/>
  <c r="AB29" i="16"/>
  <c r="AR30" i="16"/>
  <c r="L11" i="16"/>
  <c r="AB12" i="16"/>
  <c r="AR13" i="16"/>
  <c r="L15" i="16"/>
  <c r="L67" i="16" s="1"/>
  <c r="L51" i="17" s="1"/>
  <c r="AB16" i="16"/>
  <c r="AR17" i="16"/>
  <c r="L19" i="16"/>
  <c r="AB20" i="16"/>
  <c r="AB207" i="16" s="1"/>
  <c r="L23" i="16"/>
  <c r="AB24" i="16"/>
  <c r="AR25" i="16"/>
  <c r="L27" i="16"/>
  <c r="AB28" i="16"/>
  <c r="AR29" i="16"/>
  <c r="L31" i="16"/>
  <c r="AF11" i="16"/>
  <c r="AV11" i="16"/>
  <c r="P12" i="16"/>
  <c r="AF12" i="16"/>
  <c r="AV12" i="16"/>
  <c r="P13" i="16"/>
  <c r="AF13" i="16"/>
  <c r="AV13" i="16"/>
  <c r="P14" i="16"/>
  <c r="AF14" i="16"/>
  <c r="AV14" i="16"/>
  <c r="P15" i="16"/>
  <c r="AF15" i="16"/>
  <c r="AG268" i="16" s="1"/>
  <c r="AV15" i="16"/>
  <c r="AW268" i="16" s="1"/>
  <c r="P16" i="16"/>
  <c r="AF16" i="16"/>
  <c r="AV16" i="16"/>
  <c r="P17" i="16"/>
  <c r="AF17" i="16"/>
  <c r="AV17" i="16"/>
  <c r="P18" i="16"/>
  <c r="AF18" i="16"/>
  <c r="AV18" i="16"/>
  <c r="P19" i="16"/>
  <c r="Q270" i="16" s="1"/>
  <c r="AF19" i="16"/>
  <c r="AG270" i="16" s="1"/>
  <c r="AV19" i="16"/>
  <c r="AW270" i="16" s="1"/>
  <c r="P20" i="16"/>
  <c r="P207" i="16" s="1"/>
  <c r="AF20" i="16"/>
  <c r="AF207" i="16" s="1"/>
  <c r="P22" i="16"/>
  <c r="AF22" i="16"/>
  <c r="AV22" i="16"/>
  <c r="P23" i="16"/>
  <c r="AF23" i="16"/>
  <c r="AG273" i="16" s="1"/>
  <c r="AV23" i="16"/>
  <c r="AW273" i="16"/>
  <c r="P24" i="16"/>
  <c r="AF24" i="16"/>
  <c r="AV24" i="16"/>
  <c r="P25" i="16"/>
  <c r="AF25" i="16"/>
  <c r="AV25" i="16"/>
  <c r="P26" i="16"/>
  <c r="AF26" i="16"/>
  <c r="AV26" i="16"/>
  <c r="P27" i="16"/>
  <c r="AF27" i="16"/>
  <c r="AV27" i="16"/>
  <c r="P28" i="16"/>
  <c r="AF28" i="16"/>
  <c r="AV28" i="16"/>
  <c r="P29" i="16"/>
  <c r="AF29" i="16"/>
  <c r="AV29" i="16"/>
  <c r="P30" i="16"/>
  <c r="AF30" i="16"/>
  <c r="AV30" i="16"/>
  <c r="P31" i="16"/>
  <c r="T11" i="16"/>
  <c r="AJ11" i="16"/>
  <c r="AZ11" i="16"/>
  <c r="T12" i="16"/>
  <c r="AJ12" i="16"/>
  <c r="AZ12" i="16"/>
  <c r="T13" i="16"/>
  <c r="AJ13" i="16"/>
  <c r="AZ13" i="16"/>
  <c r="T14" i="16"/>
  <c r="AJ14" i="16"/>
  <c r="AZ14" i="16"/>
  <c r="T15" i="16"/>
  <c r="AJ15" i="16"/>
  <c r="AK268" i="16" s="1"/>
  <c r="AZ15" i="16"/>
  <c r="BA268" i="16" s="1"/>
  <c r="T16" i="16"/>
  <c r="AJ16" i="16"/>
  <c r="AZ16" i="16"/>
  <c r="T17" i="16"/>
  <c r="AJ17" i="16"/>
  <c r="AZ17" i="16"/>
  <c r="T18" i="16"/>
  <c r="AJ18" i="16"/>
  <c r="AZ18" i="16"/>
  <c r="T19" i="16"/>
  <c r="U270" i="16" s="1"/>
  <c r="AJ19" i="16"/>
  <c r="AK270" i="16" s="1"/>
  <c r="AZ19" i="16"/>
  <c r="BA270" i="16" s="1"/>
  <c r="T20" i="16"/>
  <c r="T207" i="16" s="1"/>
  <c r="AJ20" i="16"/>
  <c r="AJ207" i="16" s="1"/>
  <c r="AZ20" i="16"/>
  <c r="AZ207" i="16" s="1"/>
  <c r="T22" i="16"/>
  <c r="AJ22" i="16"/>
  <c r="AZ22" i="16"/>
  <c r="T23" i="16"/>
  <c r="AJ23" i="16"/>
  <c r="AK273" i="16" s="1"/>
  <c r="T24" i="16"/>
  <c r="AJ24" i="16"/>
  <c r="AZ24" i="16"/>
  <c r="T25" i="16"/>
  <c r="AJ25" i="16"/>
  <c r="AZ25" i="16"/>
  <c r="T26" i="16"/>
  <c r="AJ26" i="16"/>
  <c r="AZ26" i="16"/>
  <c r="T27" i="16"/>
  <c r="AJ27" i="16"/>
  <c r="AZ27" i="16"/>
  <c r="T28" i="16"/>
  <c r="AJ28" i="16"/>
  <c r="AZ28" i="16"/>
  <c r="T29" i="16"/>
  <c r="AJ29" i="16"/>
  <c r="AZ29" i="16"/>
  <c r="T30" i="16"/>
  <c r="AJ30" i="16"/>
  <c r="AZ30" i="16"/>
  <c r="T31" i="16"/>
  <c r="H10" i="16"/>
  <c r="H11" i="16"/>
  <c r="X11" i="16"/>
  <c r="AN11" i="16"/>
  <c r="H12" i="16"/>
  <c r="X12" i="16"/>
  <c r="AN12" i="16"/>
  <c r="H13" i="16"/>
  <c r="X13" i="16"/>
  <c r="AN13" i="16"/>
  <c r="H14" i="16"/>
  <c r="X14" i="16"/>
  <c r="AN14" i="16"/>
  <c r="H15" i="16"/>
  <c r="X15" i="16"/>
  <c r="AN15" i="16"/>
  <c r="AO268" i="16" s="1"/>
  <c r="H16" i="16"/>
  <c r="AN16" i="16"/>
  <c r="H17" i="16"/>
  <c r="X17" i="16"/>
  <c r="AN17" i="16"/>
  <c r="H18" i="16"/>
  <c r="X18" i="16"/>
  <c r="AN18" i="16"/>
  <c r="AN10" i="16" s="1"/>
  <c r="H19" i="16"/>
  <c r="X19" i="16"/>
  <c r="Y270" i="16" s="1"/>
  <c r="AN19" i="16"/>
  <c r="AO270" i="16"/>
  <c r="H20" i="16"/>
  <c r="H207" i="16" s="1"/>
  <c r="X20" i="16"/>
  <c r="X207" i="16" s="1"/>
  <c r="AN20" i="16"/>
  <c r="AN207" i="16" s="1"/>
  <c r="H21" i="16"/>
  <c r="H22" i="16"/>
  <c r="X22" i="16"/>
  <c r="AN22" i="16"/>
  <c r="H23" i="16"/>
  <c r="X23" i="16"/>
  <c r="AN23" i="16"/>
  <c r="AO273" i="16" s="1"/>
  <c r="H24" i="16"/>
  <c r="I274" i="16"/>
  <c r="X24" i="16"/>
  <c r="AN24" i="16"/>
  <c r="H25" i="16"/>
  <c r="X25" i="16"/>
  <c r="AN25" i="16"/>
  <c r="H26" i="16"/>
  <c r="X26" i="16"/>
  <c r="AN26" i="16"/>
  <c r="H27" i="16"/>
  <c r="X27" i="16"/>
  <c r="AN27" i="16"/>
  <c r="H28" i="16"/>
  <c r="X28" i="16"/>
  <c r="AN28" i="16"/>
  <c r="X29" i="16"/>
  <c r="AN29" i="16"/>
  <c r="H30" i="16"/>
  <c r="X30" i="16"/>
  <c r="AN30" i="16"/>
  <c r="H31" i="16"/>
  <c r="X31" i="16"/>
  <c r="AF31" i="16"/>
  <c r="AJ31" i="16"/>
  <c r="AN31" i="16"/>
  <c r="AR31" i="16"/>
  <c r="AV31" i="16"/>
  <c r="AZ31" i="16"/>
  <c r="H32" i="16"/>
  <c r="L32" i="16"/>
  <c r="P32" i="16"/>
  <c r="T32" i="16"/>
  <c r="X32" i="16"/>
  <c r="AB32" i="16"/>
  <c r="AF32" i="16"/>
  <c r="AJ32" i="16"/>
  <c r="AN32" i="16"/>
  <c r="AR32" i="16"/>
  <c r="AV32" i="16"/>
  <c r="AZ32" i="16"/>
  <c r="K34" i="16"/>
  <c r="S34" i="16"/>
  <c r="AA34" i="16"/>
  <c r="AI34" i="16"/>
  <c r="AQ34" i="16"/>
  <c r="AY34" i="16"/>
  <c r="K35" i="16"/>
  <c r="K36" i="16"/>
  <c r="K211" i="16" s="1"/>
  <c r="S36" i="16"/>
  <c r="AA36" i="16"/>
  <c r="AI36" i="16"/>
  <c r="AQ36" i="16"/>
  <c r="AY36" i="16"/>
  <c r="S37" i="16"/>
  <c r="AA37" i="16"/>
  <c r="AI37" i="16"/>
  <c r="AQ37" i="16"/>
  <c r="AY37" i="16"/>
  <c r="K38" i="16"/>
  <c r="S38" i="16"/>
  <c r="AA38" i="16"/>
  <c r="AI38" i="16"/>
  <c r="AQ38" i="16"/>
  <c r="AY38" i="16"/>
  <c r="K39" i="16"/>
  <c r="S39" i="16"/>
  <c r="AA39" i="16"/>
  <c r="AI39" i="16"/>
  <c r="AQ39" i="16"/>
  <c r="AY39" i="16"/>
  <c r="K40" i="16"/>
  <c r="S40" i="16"/>
  <c r="AA40" i="16"/>
  <c r="AI40" i="16"/>
  <c r="AQ40" i="16"/>
  <c r="AY40" i="16"/>
  <c r="K41" i="16"/>
  <c r="S41" i="16"/>
  <c r="AA41" i="16"/>
  <c r="AI41" i="16"/>
  <c r="AQ41" i="16"/>
  <c r="AY41" i="16"/>
  <c r="K42" i="16"/>
  <c r="S42" i="16"/>
  <c r="AA42" i="16"/>
  <c r="AI42" i="16"/>
  <c r="AQ42" i="16"/>
  <c r="AY42" i="16"/>
  <c r="K43" i="16"/>
  <c r="S43" i="16"/>
  <c r="AA43" i="16"/>
  <c r="AI43" i="16"/>
  <c r="AQ43" i="16"/>
  <c r="AY43" i="16"/>
  <c r="K44" i="16"/>
  <c r="K200" i="16" s="1"/>
  <c r="S44" i="16"/>
  <c r="AA44" i="16"/>
  <c r="AI44" i="16"/>
  <c r="AQ44" i="16"/>
  <c r="AY44" i="16"/>
  <c r="K45" i="16"/>
  <c r="S45" i="16"/>
  <c r="AA45" i="16"/>
  <c r="AI45" i="16"/>
  <c r="AQ45" i="16"/>
  <c r="AY45" i="16"/>
  <c r="K46" i="16"/>
  <c r="O47" i="16"/>
  <c r="AE47" i="16"/>
  <c r="AU47" i="16"/>
  <c r="H49" i="16"/>
  <c r="AM49" i="16"/>
  <c r="W50" i="16"/>
  <c r="O101" i="16"/>
  <c r="I10" i="16"/>
  <c r="I11" i="16"/>
  <c r="M11" i="16"/>
  <c r="U11" i="16"/>
  <c r="Y11" i="16"/>
  <c r="AC11" i="16"/>
  <c r="AG11" i="16"/>
  <c r="AK11" i="16"/>
  <c r="AO11" i="16"/>
  <c r="AS11" i="16"/>
  <c r="AW11" i="16"/>
  <c r="BA11" i="16"/>
  <c r="I12" i="16"/>
  <c r="M12" i="16"/>
  <c r="Q12" i="16"/>
  <c r="U12" i="16"/>
  <c r="Y12" i="16"/>
  <c r="AC12" i="16"/>
  <c r="AG12" i="16"/>
  <c r="AK12" i="16"/>
  <c r="AO12" i="16"/>
  <c r="AS12" i="16"/>
  <c r="AW12" i="16"/>
  <c r="BA12" i="16"/>
  <c r="I13" i="16"/>
  <c r="M13" i="16"/>
  <c r="Q13" i="16"/>
  <c r="U13" i="16"/>
  <c r="Y13" i="16"/>
  <c r="AC13" i="16"/>
  <c r="AG13" i="16"/>
  <c r="AK13" i="16"/>
  <c r="AO13" i="16"/>
  <c r="AS13" i="16"/>
  <c r="AW13" i="16"/>
  <c r="BA13" i="16"/>
  <c r="I14" i="16"/>
  <c r="M14" i="16"/>
  <c r="Q14" i="16"/>
  <c r="U14" i="16"/>
  <c r="Y14" i="16"/>
  <c r="AC14" i="16"/>
  <c r="AG14" i="16"/>
  <c r="AK14" i="16"/>
  <c r="AO14" i="16"/>
  <c r="AS14" i="16"/>
  <c r="AW14" i="16"/>
  <c r="BA14" i="16"/>
  <c r="I15" i="16"/>
  <c r="M15" i="16"/>
  <c r="Q15" i="16"/>
  <c r="U15" i="16"/>
  <c r="Y15" i="16"/>
  <c r="Y268" i="16" s="1"/>
  <c r="AC15" i="16"/>
  <c r="AD268" i="16" s="1"/>
  <c r="AG15" i="16"/>
  <c r="AH268" i="16" s="1"/>
  <c r="AK15" i="16"/>
  <c r="AL268" i="16" s="1"/>
  <c r="AO15" i="16"/>
  <c r="AP268" i="16" s="1"/>
  <c r="AS15" i="16"/>
  <c r="AT268" i="16" s="1"/>
  <c r="AW15" i="16"/>
  <c r="AX268" i="16" s="1"/>
  <c r="BA15" i="16"/>
  <c r="M16" i="16"/>
  <c r="Q16" i="16"/>
  <c r="U16" i="16"/>
  <c r="Y16" i="16"/>
  <c r="Y148" i="16" s="1"/>
  <c r="AC16" i="16"/>
  <c r="AG16" i="16"/>
  <c r="AK16" i="16"/>
  <c r="AO16" i="16"/>
  <c r="AS16" i="16"/>
  <c r="AW16" i="16"/>
  <c r="BA16" i="16"/>
  <c r="I17" i="16"/>
  <c r="M17" i="16"/>
  <c r="Q17" i="16"/>
  <c r="U17" i="16"/>
  <c r="Y17" i="16"/>
  <c r="AC17" i="16"/>
  <c r="AG17" i="16"/>
  <c r="AK17" i="16"/>
  <c r="AO17" i="16"/>
  <c r="AS17" i="16"/>
  <c r="AW17" i="16"/>
  <c r="BA17" i="16"/>
  <c r="I18" i="16"/>
  <c r="M18" i="16"/>
  <c r="Q18" i="16"/>
  <c r="U18" i="16"/>
  <c r="Y18" i="16"/>
  <c r="AC18" i="16"/>
  <c r="AG18" i="16"/>
  <c r="AK18" i="16"/>
  <c r="AO18" i="16"/>
  <c r="AS18" i="16"/>
  <c r="AW18" i="16"/>
  <c r="BA18" i="16"/>
  <c r="I19" i="16"/>
  <c r="M19" i="16"/>
  <c r="Q19" i="16"/>
  <c r="R270" i="16" s="1"/>
  <c r="U19" i="16"/>
  <c r="V270" i="16"/>
  <c r="Y19" i="16"/>
  <c r="Z270" i="16" s="1"/>
  <c r="AC19" i="16"/>
  <c r="AD270" i="16" s="1"/>
  <c r="AG19" i="16"/>
  <c r="AH270" i="16" s="1"/>
  <c r="AK19" i="16"/>
  <c r="AL270" i="16" s="1"/>
  <c r="AO19" i="16"/>
  <c r="AP270" i="16" s="1"/>
  <c r="AS19" i="16"/>
  <c r="AT270" i="16" s="1"/>
  <c r="AW19" i="16"/>
  <c r="AX270" i="16"/>
  <c r="BA19" i="16"/>
  <c r="I20" i="16"/>
  <c r="I207" i="16" s="1"/>
  <c r="M20" i="16"/>
  <c r="M207" i="16" s="1"/>
  <c r="Q20" i="16"/>
  <c r="Q207" i="16" s="1"/>
  <c r="U20" i="16"/>
  <c r="U207" i="16" s="1"/>
  <c r="Y20" i="16"/>
  <c r="Y207" i="16" s="1"/>
  <c r="AC20" i="16"/>
  <c r="AC207" i="16" s="1"/>
  <c r="AG20" i="16"/>
  <c r="AG207" i="16" s="1"/>
  <c r="AK20" i="16"/>
  <c r="AK207" i="16" s="1"/>
  <c r="AW20" i="16"/>
  <c r="AW207" i="16" s="1"/>
  <c r="BA20" i="16"/>
  <c r="BA207" i="16" s="1"/>
  <c r="I21" i="16"/>
  <c r="I22" i="16"/>
  <c r="M22" i="16"/>
  <c r="Q22" i="16"/>
  <c r="U22" i="16"/>
  <c r="Y22" i="16"/>
  <c r="AC22" i="16"/>
  <c r="AG22" i="16"/>
  <c r="AK22" i="16"/>
  <c r="AO22" i="16"/>
  <c r="AS22" i="16"/>
  <c r="AW22" i="16"/>
  <c r="BA22" i="16"/>
  <c r="I23" i="16"/>
  <c r="M23" i="16"/>
  <c r="Q23" i="16"/>
  <c r="U23" i="16"/>
  <c r="U273" i="16" s="1"/>
  <c r="Y23" i="16"/>
  <c r="AC23" i="16"/>
  <c r="AD273" i="16" s="1"/>
  <c r="AG23" i="16"/>
  <c r="AH273" i="16" s="1"/>
  <c r="AK23" i="16"/>
  <c r="AL273" i="16" s="1"/>
  <c r="AO23" i="16"/>
  <c r="AP273" i="16" s="1"/>
  <c r="AS23" i="16"/>
  <c r="AT273" i="16" s="1"/>
  <c r="AW23" i="16"/>
  <c r="AX273" i="16" s="1"/>
  <c r="BA23" i="16"/>
  <c r="I24" i="16"/>
  <c r="J274" i="16" s="1"/>
  <c r="M24" i="16"/>
  <c r="N274" i="16" s="1"/>
  <c r="Q24" i="16"/>
  <c r="U24" i="16"/>
  <c r="V274" i="16" s="1"/>
  <c r="AC24" i="16"/>
  <c r="AG24" i="16"/>
  <c r="AK24" i="16"/>
  <c r="AO24" i="16"/>
  <c r="AS24" i="16"/>
  <c r="AW24" i="16"/>
  <c r="BA24" i="16"/>
  <c r="I25" i="16"/>
  <c r="M25" i="16"/>
  <c r="Q25" i="16"/>
  <c r="U25" i="16"/>
  <c r="Y25" i="16"/>
  <c r="AC25" i="16"/>
  <c r="AG25" i="16"/>
  <c r="AK25" i="16"/>
  <c r="AO25" i="16"/>
  <c r="AS25" i="16"/>
  <c r="AW25" i="16"/>
  <c r="BA25" i="16"/>
  <c r="I26" i="16"/>
  <c r="M26" i="16"/>
  <c r="Q26" i="16"/>
  <c r="U26" i="16"/>
  <c r="Y26" i="16"/>
  <c r="AC26" i="16"/>
  <c r="AG26" i="16"/>
  <c r="AK26" i="16"/>
  <c r="AO26" i="16"/>
  <c r="AS26" i="16"/>
  <c r="AW26" i="16"/>
  <c r="BA26" i="16"/>
  <c r="I27" i="16"/>
  <c r="M27" i="16"/>
  <c r="Q27" i="16"/>
  <c r="U27" i="16"/>
  <c r="Y27" i="16"/>
  <c r="AC27" i="16"/>
  <c r="AG27" i="16"/>
  <c r="AK27" i="16"/>
  <c r="AO27" i="16"/>
  <c r="AS27" i="16"/>
  <c r="AW27" i="16"/>
  <c r="BA27" i="16"/>
  <c r="I28" i="16"/>
  <c r="M28" i="16"/>
  <c r="Q28" i="16"/>
  <c r="U28" i="16"/>
  <c r="Y28" i="16"/>
  <c r="AC28" i="16"/>
  <c r="AG28" i="16"/>
  <c r="AK28" i="16"/>
  <c r="AO28" i="16"/>
  <c r="AS28" i="16"/>
  <c r="AW28" i="16"/>
  <c r="BA28" i="16"/>
  <c r="I29" i="16"/>
  <c r="M29" i="16"/>
  <c r="Q29" i="16"/>
  <c r="U29" i="16"/>
  <c r="Y29" i="16"/>
  <c r="AC29" i="16"/>
  <c r="AG29" i="16"/>
  <c r="AK29" i="16"/>
  <c r="AO29" i="16"/>
  <c r="AS29" i="16"/>
  <c r="AW29" i="16"/>
  <c r="BA29" i="16"/>
  <c r="I30" i="16"/>
  <c r="M30" i="16"/>
  <c r="Q30" i="16"/>
  <c r="Q276" i="16" s="1"/>
  <c r="U30" i="16"/>
  <c r="Y30" i="16"/>
  <c r="AC30" i="16"/>
  <c r="AG30" i="16"/>
  <c r="AK30" i="16"/>
  <c r="AO30" i="16"/>
  <c r="AS30" i="16"/>
  <c r="AW30" i="16"/>
  <c r="BA30" i="16"/>
  <c r="I31" i="16"/>
  <c r="M31" i="16"/>
  <c r="Q31" i="16"/>
  <c r="U31" i="16"/>
  <c r="Y31" i="16"/>
  <c r="AC31" i="16"/>
  <c r="AG31" i="16"/>
  <c r="AK31" i="16"/>
  <c r="AO31" i="16"/>
  <c r="AS31" i="16"/>
  <c r="AW31" i="16"/>
  <c r="BA31" i="16"/>
  <c r="I32" i="16"/>
  <c r="M32" i="16"/>
  <c r="Q32" i="16"/>
  <c r="U32" i="16"/>
  <c r="U170" i="16" s="1"/>
  <c r="Y32" i="16"/>
  <c r="AC32" i="16"/>
  <c r="AG32" i="16"/>
  <c r="AK32" i="16"/>
  <c r="AO32" i="16"/>
  <c r="AS32" i="16"/>
  <c r="AW32" i="16"/>
  <c r="BA32" i="16"/>
  <c r="L34" i="16"/>
  <c r="T34" i="16"/>
  <c r="AB34" i="16"/>
  <c r="AJ34" i="16"/>
  <c r="AR34" i="16"/>
  <c r="AZ34" i="16"/>
  <c r="L35" i="16"/>
  <c r="L36" i="16"/>
  <c r="L211" i="16" s="1"/>
  <c r="T36" i="16"/>
  <c r="AB36" i="16"/>
  <c r="AJ36" i="16"/>
  <c r="AR36" i="16"/>
  <c r="AZ36" i="16"/>
  <c r="L37" i="16"/>
  <c r="T37" i="16"/>
  <c r="AB37" i="16"/>
  <c r="AJ37" i="16"/>
  <c r="AR37" i="16"/>
  <c r="AZ37" i="16"/>
  <c r="L38" i="16"/>
  <c r="T38" i="16"/>
  <c r="AB38" i="16"/>
  <c r="AJ38" i="16"/>
  <c r="AR38" i="16"/>
  <c r="AZ38" i="16"/>
  <c r="L39" i="16"/>
  <c r="T39" i="16"/>
  <c r="AB39" i="16"/>
  <c r="AJ39" i="16"/>
  <c r="AR39" i="16"/>
  <c r="AZ39" i="16"/>
  <c r="L40" i="16"/>
  <c r="T40" i="16"/>
  <c r="AB40" i="16"/>
  <c r="AJ40" i="16"/>
  <c r="AR40" i="16"/>
  <c r="AZ40" i="16"/>
  <c r="L41" i="16"/>
  <c r="T41" i="16"/>
  <c r="AB41" i="16"/>
  <c r="AJ41" i="16"/>
  <c r="AR41" i="16"/>
  <c r="AZ41" i="16"/>
  <c r="L42" i="16"/>
  <c r="T42" i="16"/>
  <c r="AB42" i="16"/>
  <c r="AJ42" i="16"/>
  <c r="AR42" i="16"/>
  <c r="AZ42" i="16"/>
  <c r="L43" i="16"/>
  <c r="T43" i="16"/>
  <c r="AB43" i="16"/>
  <c r="AJ43" i="16"/>
  <c r="AR43" i="16"/>
  <c r="AZ43" i="16"/>
  <c r="L44" i="16"/>
  <c r="T44" i="16"/>
  <c r="AB44" i="16"/>
  <c r="AJ44" i="16"/>
  <c r="AR44" i="16"/>
  <c r="AZ44" i="16"/>
  <c r="L45" i="16"/>
  <c r="T45" i="16"/>
  <c r="AB45" i="16"/>
  <c r="AJ45" i="16"/>
  <c r="AZ45" i="16"/>
  <c r="L46" i="16"/>
  <c r="S47" i="16"/>
  <c r="AI47" i="16"/>
  <c r="AY47" i="16"/>
  <c r="O49" i="16"/>
  <c r="AU49" i="16"/>
  <c r="AE50" i="16"/>
  <c r="Z11" i="16"/>
  <c r="AP12" i="16"/>
  <c r="J14" i="16"/>
  <c r="Z15" i="16"/>
  <c r="Z268" i="16" s="1"/>
  <c r="AX16" i="16"/>
  <c r="R18" i="16"/>
  <c r="AH19" i="16"/>
  <c r="AI270" i="16" s="1"/>
  <c r="AX20" i="16"/>
  <c r="AX207" i="16" s="1"/>
  <c r="J23" i="16"/>
  <c r="R24" i="16"/>
  <c r="AH25" i="16"/>
  <c r="AX26" i="16"/>
  <c r="R28" i="16"/>
  <c r="AL29" i="16"/>
  <c r="F31" i="16"/>
  <c r="V32" i="16"/>
  <c r="G34" i="16"/>
  <c r="O34" i="16"/>
  <c r="W34" i="16"/>
  <c r="AE34" i="16"/>
  <c r="AM34" i="16"/>
  <c r="AU34" i="16"/>
  <c r="G35" i="16"/>
  <c r="G36" i="16"/>
  <c r="G211" i="16" s="1"/>
  <c r="O36" i="16"/>
  <c r="W36" i="16"/>
  <c r="AE36" i="16"/>
  <c r="AM36" i="16"/>
  <c r="AU36" i="16"/>
  <c r="G37" i="16"/>
  <c r="O37" i="16"/>
  <c r="W37" i="16"/>
  <c r="AE37" i="16"/>
  <c r="AM37" i="16"/>
  <c r="AU37" i="16"/>
  <c r="G38" i="16"/>
  <c r="O38" i="16"/>
  <c r="W38" i="16"/>
  <c r="AE38" i="16"/>
  <c r="AM38" i="16"/>
  <c r="AU38" i="16"/>
  <c r="G39" i="16"/>
  <c r="O39" i="16"/>
  <c r="W39" i="16"/>
  <c r="AE39" i="16"/>
  <c r="AM39" i="16"/>
  <c r="AU39" i="16"/>
  <c r="G40" i="16"/>
  <c r="O40" i="16"/>
  <c r="W40" i="16"/>
  <c r="AE40" i="16"/>
  <c r="AM40" i="16"/>
  <c r="AU40" i="16"/>
  <c r="G41" i="16"/>
  <c r="O41" i="16"/>
  <c r="W41" i="16"/>
  <c r="AE41" i="16"/>
  <c r="AM41" i="16"/>
  <c r="AU41" i="16"/>
  <c r="G42" i="16"/>
  <c r="O42" i="16"/>
  <c r="W42" i="16"/>
  <c r="AE42" i="16"/>
  <c r="AM42" i="16"/>
  <c r="AU42" i="16"/>
  <c r="G43" i="16"/>
  <c r="O43" i="16"/>
  <c r="W43" i="16"/>
  <c r="AE43" i="16"/>
  <c r="AM43" i="16"/>
  <c r="AU43" i="16"/>
  <c r="G44" i="16"/>
  <c r="O44" i="16"/>
  <c r="W44" i="16"/>
  <c r="AE44" i="16"/>
  <c r="AM44" i="16"/>
  <c r="AU44" i="16"/>
  <c r="G45" i="16"/>
  <c r="O45" i="16"/>
  <c r="W45" i="16"/>
  <c r="AE45" i="16"/>
  <c r="AM45" i="16"/>
  <c r="AU45" i="16"/>
  <c r="G46" i="16"/>
  <c r="G47" i="16"/>
  <c r="W47" i="16"/>
  <c r="AM47" i="16"/>
  <c r="G48" i="16"/>
  <c r="W49" i="16"/>
  <c r="G50" i="16"/>
  <c r="AM50" i="16"/>
  <c r="K10" i="16"/>
  <c r="G11" i="16"/>
  <c r="K11" i="16"/>
  <c r="S11" i="16"/>
  <c r="W11" i="16"/>
  <c r="AA11" i="16"/>
  <c r="AE11" i="16"/>
  <c r="AI11" i="16"/>
  <c r="AM11" i="16"/>
  <c r="AQ11" i="16"/>
  <c r="AU11" i="16"/>
  <c r="AY11" i="16"/>
  <c r="G12" i="16"/>
  <c r="K12" i="16"/>
  <c r="O12" i="16"/>
  <c r="S12" i="16"/>
  <c r="W12" i="16"/>
  <c r="AA12" i="16"/>
  <c r="AE12" i="16"/>
  <c r="AI12" i="16"/>
  <c r="AM12" i="16"/>
  <c r="AQ12" i="16"/>
  <c r="AU12" i="16"/>
  <c r="AY12" i="16"/>
  <c r="G13" i="16"/>
  <c r="K13" i="16"/>
  <c r="O13" i="16"/>
  <c r="S13" i="16"/>
  <c r="W13" i="16"/>
  <c r="AA13" i="16"/>
  <c r="AE13" i="16"/>
  <c r="AI13" i="16"/>
  <c r="AM13" i="16"/>
  <c r="AQ13" i="16"/>
  <c r="AU13" i="16"/>
  <c r="AY13" i="16"/>
  <c r="G14" i="16"/>
  <c r="K14" i="16"/>
  <c r="S14" i="16"/>
  <c r="W14" i="16"/>
  <c r="AA14" i="16"/>
  <c r="AE14" i="16"/>
  <c r="AI14" i="16"/>
  <c r="AM14" i="16"/>
  <c r="AQ14" i="16"/>
  <c r="AU14" i="16"/>
  <c r="AY14" i="16"/>
  <c r="G15" i="16"/>
  <c r="H268" i="16" s="1"/>
  <c r="K15" i="16"/>
  <c r="O15" i="16"/>
  <c r="S15" i="16"/>
  <c r="W15" i="16"/>
  <c r="AA15" i="16"/>
  <c r="AB268" i="16" s="1"/>
  <c r="AE15" i="16"/>
  <c r="AI15" i="16"/>
  <c r="AJ268" i="16" s="1"/>
  <c r="AM15" i="16"/>
  <c r="AN268" i="16" s="1"/>
  <c r="AQ15" i="16"/>
  <c r="AR268" i="16"/>
  <c r="AU15" i="16"/>
  <c r="AV268" i="16" s="1"/>
  <c r="AY15" i="16"/>
  <c r="AZ268" i="16" s="1"/>
  <c r="G16" i="16"/>
  <c r="K16" i="16"/>
  <c r="O16" i="16"/>
  <c r="S16" i="16"/>
  <c r="W16" i="16"/>
  <c r="AA16" i="16"/>
  <c r="AE16" i="16"/>
  <c r="AI16" i="16"/>
  <c r="AM16" i="16"/>
  <c r="AQ16" i="16"/>
  <c r="AU16" i="16"/>
  <c r="AY16" i="16"/>
  <c r="G17" i="16"/>
  <c r="K17" i="16"/>
  <c r="O17" i="16"/>
  <c r="S17" i="16"/>
  <c r="W17" i="16"/>
  <c r="AA17" i="16"/>
  <c r="AE17" i="16"/>
  <c r="AI17" i="16"/>
  <c r="AM17" i="16"/>
  <c r="AQ17" i="16"/>
  <c r="AU17" i="16"/>
  <c r="AY17" i="16"/>
  <c r="G18" i="16"/>
  <c r="K18" i="16"/>
  <c r="O18" i="16"/>
  <c r="S18" i="16"/>
  <c r="W18" i="16"/>
  <c r="AA18" i="16"/>
  <c r="AE18" i="16"/>
  <c r="AI18" i="16"/>
  <c r="AM18" i="16"/>
  <c r="AQ18" i="16"/>
  <c r="AU18" i="16"/>
  <c r="AY18" i="16"/>
  <c r="G19" i="16"/>
  <c r="H270" i="16" s="1"/>
  <c r="K19" i="16"/>
  <c r="O19" i="16"/>
  <c r="P270" i="16" s="1"/>
  <c r="S19" i="16"/>
  <c r="T270" i="16" s="1"/>
  <c r="W19" i="16"/>
  <c r="X270" i="16" s="1"/>
  <c r="AA19" i="16"/>
  <c r="AB270" i="16" s="1"/>
  <c r="AE19" i="16"/>
  <c r="AF270" i="16" s="1"/>
  <c r="AI19" i="16"/>
  <c r="AJ270" i="16" s="1"/>
  <c r="AM19" i="16"/>
  <c r="AN270" i="16" s="1"/>
  <c r="AQ19" i="16"/>
  <c r="AR270" i="16" s="1"/>
  <c r="AU19" i="16"/>
  <c r="AY19" i="16"/>
  <c r="AZ270" i="16" s="1"/>
  <c r="G20" i="16"/>
  <c r="G207" i="16" s="1"/>
  <c r="K20" i="16"/>
  <c r="K207" i="16" s="1"/>
  <c r="O20" i="16"/>
  <c r="O207" i="16" s="1"/>
  <c r="S20" i="16"/>
  <c r="S207" i="16" s="1"/>
  <c r="W20" i="16"/>
  <c r="W207" i="16" s="1"/>
  <c r="AA20" i="16"/>
  <c r="AA207" i="16"/>
  <c r="AE20" i="16"/>
  <c r="AE207" i="16" s="1"/>
  <c r="AI20" i="16"/>
  <c r="AI207" i="16" s="1"/>
  <c r="AM20" i="16"/>
  <c r="AM207" i="16" s="1"/>
  <c r="AU20" i="16"/>
  <c r="AU207" i="16" s="1"/>
  <c r="AY20" i="16"/>
  <c r="AY207" i="16" s="1"/>
  <c r="G21" i="16"/>
  <c r="G22" i="16"/>
  <c r="K22" i="16"/>
  <c r="O22" i="16"/>
  <c r="S22" i="16"/>
  <c r="W22" i="16"/>
  <c r="AA22" i="16"/>
  <c r="AE22" i="16"/>
  <c r="AI22" i="16"/>
  <c r="AM22" i="16"/>
  <c r="AQ22" i="16"/>
  <c r="AU22" i="16"/>
  <c r="AY22" i="16"/>
  <c r="G23" i="16"/>
  <c r="K23" i="16"/>
  <c r="O23" i="16"/>
  <c r="P273" i="16" s="1"/>
  <c r="S23" i="16"/>
  <c r="T273" i="16" s="1"/>
  <c r="W23" i="16"/>
  <c r="X273" i="16" s="1"/>
  <c r="AA23" i="16"/>
  <c r="AB273" i="16" s="1"/>
  <c r="AE23" i="16"/>
  <c r="AF273" i="16" s="1"/>
  <c r="AI23" i="16"/>
  <c r="AJ273" i="16" s="1"/>
  <c r="AM23" i="16"/>
  <c r="AN273" i="16" s="1"/>
  <c r="AQ23" i="16"/>
  <c r="AR273" i="16" s="1"/>
  <c r="AU23" i="16"/>
  <c r="AY23" i="16"/>
  <c r="AZ273" i="16" s="1"/>
  <c r="G24" i="16"/>
  <c r="H274" i="16" s="1"/>
  <c r="K24" i="16"/>
  <c r="O24" i="16"/>
  <c r="S24" i="16"/>
  <c r="W24" i="16"/>
  <c r="X274" i="16" s="1"/>
  <c r="AA24" i="16"/>
  <c r="AE24" i="16"/>
  <c r="AI24" i="16"/>
  <c r="AM24" i="16"/>
  <c r="AQ24" i="16"/>
  <c r="AU24" i="16"/>
  <c r="AY24" i="16"/>
  <c r="G25" i="16"/>
  <c r="K25" i="16"/>
  <c r="O25" i="16"/>
  <c r="S25" i="16"/>
  <c r="W25" i="16"/>
  <c r="AA25" i="16"/>
  <c r="AE25" i="16"/>
  <c r="AI25" i="16"/>
  <c r="AM25" i="16"/>
  <c r="AQ25" i="16"/>
  <c r="AU25" i="16"/>
  <c r="AY25" i="16"/>
  <c r="G26" i="16"/>
  <c r="K26" i="16"/>
  <c r="O26" i="16"/>
  <c r="S26" i="16"/>
  <c r="W26" i="16"/>
  <c r="AA26" i="16"/>
  <c r="AE26" i="16"/>
  <c r="AI26" i="16"/>
  <c r="AM26" i="16"/>
  <c r="AQ26" i="16"/>
  <c r="AQ205" i="16" s="1"/>
  <c r="AU26" i="16"/>
  <c r="AY26" i="16"/>
  <c r="G27" i="16"/>
  <c r="K27" i="16"/>
  <c r="O27" i="16"/>
  <c r="S27" i="16"/>
  <c r="W27" i="16"/>
  <c r="AA27" i="16"/>
  <c r="AE27" i="16"/>
  <c r="AI27" i="16"/>
  <c r="AM27" i="16"/>
  <c r="AQ27" i="16"/>
  <c r="AU27" i="16"/>
  <c r="AY27" i="16"/>
  <c r="G28" i="16"/>
  <c r="K28" i="16"/>
  <c r="O28" i="16"/>
  <c r="S28" i="16"/>
  <c r="W28" i="16"/>
  <c r="AA28" i="16"/>
  <c r="AE28" i="16"/>
  <c r="AI28" i="16"/>
  <c r="AM28" i="16"/>
  <c r="AQ28" i="16"/>
  <c r="AU28" i="16"/>
  <c r="AY28" i="16"/>
  <c r="G29" i="16"/>
  <c r="K29" i="16"/>
  <c r="O29" i="16"/>
  <c r="S29" i="16"/>
  <c r="W29" i="16"/>
  <c r="AA29" i="16"/>
  <c r="AE29" i="16"/>
  <c r="AI29" i="16"/>
  <c r="AM29" i="16"/>
  <c r="AQ29" i="16"/>
  <c r="AU29" i="16"/>
  <c r="AY29" i="16"/>
  <c r="G30" i="16"/>
  <c r="K30" i="16"/>
  <c r="O30" i="16"/>
  <c r="S30" i="16"/>
  <c r="W30" i="16"/>
  <c r="AA30" i="16"/>
  <c r="AE30" i="16"/>
  <c r="AI30" i="16"/>
  <c r="AM30" i="16"/>
  <c r="AQ30" i="16"/>
  <c r="AU30" i="16"/>
  <c r="AY30" i="16"/>
  <c r="G31" i="16"/>
  <c r="K31" i="16"/>
  <c r="O31" i="16"/>
  <c r="S31" i="16"/>
  <c r="W31" i="16"/>
  <c r="AA31" i="16"/>
  <c r="AE31" i="16"/>
  <c r="AI31" i="16"/>
  <c r="AM31" i="16"/>
  <c r="AQ31" i="16"/>
  <c r="AU31" i="16"/>
  <c r="AY31" i="16"/>
  <c r="G32" i="16"/>
  <c r="K32" i="16"/>
  <c r="O32" i="16"/>
  <c r="S32" i="16"/>
  <c r="W32" i="16"/>
  <c r="AA32" i="16"/>
  <c r="AE32" i="16"/>
  <c r="AI32" i="16"/>
  <c r="AM32" i="16"/>
  <c r="AQ32" i="16"/>
  <c r="AU32" i="16"/>
  <c r="AY32" i="16"/>
  <c r="H34" i="16"/>
  <c r="P34" i="16"/>
  <c r="X34" i="16"/>
  <c r="AF34" i="16"/>
  <c r="AN34" i="16"/>
  <c r="AV34" i="16"/>
  <c r="H36" i="16"/>
  <c r="H211" i="16" s="1"/>
  <c r="P36" i="16"/>
  <c r="X36" i="16"/>
  <c r="AF36" i="16"/>
  <c r="AN36" i="16"/>
  <c r="AV36" i="16"/>
  <c r="H37" i="16"/>
  <c r="P37" i="16"/>
  <c r="X37" i="16"/>
  <c r="AF37" i="16"/>
  <c r="AN37" i="16"/>
  <c r="AV37" i="16"/>
  <c r="H38" i="16"/>
  <c r="P38" i="16"/>
  <c r="X38" i="16"/>
  <c r="AF38" i="16"/>
  <c r="AN38" i="16"/>
  <c r="AV38" i="16"/>
  <c r="H39" i="16"/>
  <c r="P39" i="16"/>
  <c r="X39" i="16"/>
  <c r="AF39" i="16"/>
  <c r="AN39" i="16"/>
  <c r="AV39" i="16"/>
  <c r="H40" i="16"/>
  <c r="P40" i="16"/>
  <c r="X40" i="16"/>
  <c r="AF40" i="16"/>
  <c r="AN40" i="16"/>
  <c r="AV40" i="16"/>
  <c r="H41" i="16"/>
  <c r="X41" i="16"/>
  <c r="AF41" i="16"/>
  <c r="AN41" i="16"/>
  <c r="AV41" i="16"/>
  <c r="H42" i="16"/>
  <c r="P42" i="16"/>
  <c r="X42" i="16"/>
  <c r="AF42" i="16"/>
  <c r="AN42" i="16"/>
  <c r="AV42" i="16"/>
  <c r="H43" i="16"/>
  <c r="X43" i="16"/>
  <c r="AF43" i="16"/>
  <c r="AN43" i="16"/>
  <c r="AV43" i="16"/>
  <c r="H44" i="16"/>
  <c r="P44" i="16"/>
  <c r="X44" i="16"/>
  <c r="AF44" i="16"/>
  <c r="AN44" i="16"/>
  <c r="AV44" i="16"/>
  <c r="H45" i="16"/>
  <c r="P45" i="16"/>
  <c r="X45" i="16"/>
  <c r="AF45" i="16"/>
  <c r="AN45" i="16"/>
  <c r="AV45" i="16"/>
  <c r="K47" i="16"/>
  <c r="AA47" i="16"/>
  <c r="AQ47" i="16"/>
  <c r="K48" i="16"/>
  <c r="AE49" i="16"/>
  <c r="O50" i="16"/>
  <c r="AU50" i="16"/>
  <c r="J57" i="16"/>
  <c r="AE93" i="16"/>
  <c r="H47" i="16"/>
  <c r="L47" i="16"/>
  <c r="P47" i="16"/>
  <c r="T47" i="16"/>
  <c r="X47" i="16"/>
  <c r="AB47" i="16"/>
  <c r="AF47" i="16"/>
  <c r="AJ47" i="16"/>
  <c r="AN47" i="16"/>
  <c r="AR47" i="16"/>
  <c r="AV47" i="16"/>
  <c r="AZ47" i="16"/>
  <c r="H48" i="16"/>
  <c r="L48" i="16"/>
  <c r="N55" i="16"/>
  <c r="AL63" i="17"/>
  <c r="AL85" i="16"/>
  <c r="AU89" i="16"/>
  <c r="AU94" i="16"/>
  <c r="AU103" i="16"/>
  <c r="AU204" i="16" s="1"/>
  <c r="I34" i="16"/>
  <c r="M34" i="16"/>
  <c r="Q34" i="16"/>
  <c r="U34" i="16"/>
  <c r="Y34" i="16"/>
  <c r="AC34" i="16"/>
  <c r="AG34" i="16"/>
  <c r="AK34" i="16"/>
  <c r="AO34" i="16"/>
  <c r="AS34" i="16"/>
  <c r="AW34" i="16"/>
  <c r="BA34" i="16"/>
  <c r="I35" i="16"/>
  <c r="I36" i="16"/>
  <c r="I211" i="16" s="1"/>
  <c r="M36" i="16"/>
  <c r="M211" i="16" s="1"/>
  <c r="Q36" i="16"/>
  <c r="U36" i="16"/>
  <c r="Y36" i="16"/>
  <c r="Y211" i="16" s="1"/>
  <c r="AC36" i="16"/>
  <c r="AG36" i="16"/>
  <c r="AK36" i="16"/>
  <c r="AO36" i="16"/>
  <c r="AS36" i="16"/>
  <c r="AW36" i="16"/>
  <c r="BA36" i="16"/>
  <c r="I37" i="16"/>
  <c r="M37" i="16"/>
  <c r="Q37" i="16"/>
  <c r="U37" i="16"/>
  <c r="Y37" i="16"/>
  <c r="AC37" i="16"/>
  <c r="AG37" i="16"/>
  <c r="AK37" i="16"/>
  <c r="AO37" i="16"/>
  <c r="AS37" i="16"/>
  <c r="AW37" i="16"/>
  <c r="BA37" i="16"/>
  <c r="I38" i="16"/>
  <c r="M38" i="16"/>
  <c r="Q38" i="16"/>
  <c r="U38" i="16"/>
  <c r="Y38" i="16"/>
  <c r="AC38" i="16"/>
  <c r="AG38" i="16"/>
  <c r="AK38" i="16"/>
  <c r="AO38" i="16"/>
  <c r="AS38" i="16"/>
  <c r="AW38" i="16"/>
  <c r="BA38" i="16"/>
  <c r="I39" i="16"/>
  <c r="M39" i="16"/>
  <c r="U39" i="16"/>
  <c r="Y39" i="16"/>
  <c r="AC39" i="16"/>
  <c r="AG39" i="16"/>
  <c r="AK39" i="16"/>
  <c r="AO39" i="16"/>
  <c r="AS39" i="16"/>
  <c r="AW39" i="16"/>
  <c r="BA39" i="16"/>
  <c r="I40" i="16"/>
  <c r="M40" i="16"/>
  <c r="Q40" i="16"/>
  <c r="U40" i="16"/>
  <c r="Y40" i="16"/>
  <c r="AC40" i="16"/>
  <c r="AG40" i="16"/>
  <c r="AK40" i="16"/>
  <c r="AO40" i="16"/>
  <c r="AS40" i="16"/>
  <c r="AW40" i="16"/>
  <c r="BA40" i="16"/>
  <c r="I41" i="16"/>
  <c r="M41" i="16"/>
  <c r="Q41" i="16"/>
  <c r="U41" i="16"/>
  <c r="Y41" i="16"/>
  <c r="AC41" i="16"/>
  <c r="AG41" i="16"/>
  <c r="AK41" i="16"/>
  <c r="AO41" i="16"/>
  <c r="AS41" i="16"/>
  <c r="AW41" i="16"/>
  <c r="BA41" i="16"/>
  <c r="I42" i="16"/>
  <c r="M42" i="16"/>
  <c r="Q42" i="16"/>
  <c r="U42" i="16"/>
  <c r="Y42" i="16"/>
  <c r="AC42" i="16"/>
  <c r="AG42" i="16"/>
  <c r="AK42" i="16"/>
  <c r="AO42" i="16"/>
  <c r="AS42" i="16"/>
  <c r="AW42" i="16"/>
  <c r="BA42" i="16"/>
  <c r="I43" i="16"/>
  <c r="M43" i="16"/>
  <c r="Q43" i="16"/>
  <c r="U43" i="16"/>
  <c r="Y43" i="16"/>
  <c r="AC43" i="16"/>
  <c r="AG43" i="16"/>
  <c r="AK43" i="16"/>
  <c r="AO43" i="16"/>
  <c r="AS43" i="16"/>
  <c r="AW43" i="16"/>
  <c r="BA43" i="16"/>
  <c r="I44" i="16"/>
  <c r="M44" i="16"/>
  <c r="Q44" i="16"/>
  <c r="U44" i="16"/>
  <c r="Y44" i="16"/>
  <c r="AC44" i="16"/>
  <c r="AG44" i="16"/>
  <c r="AK44" i="16"/>
  <c r="AK200" i="16" s="1"/>
  <c r="AO44" i="16"/>
  <c r="AS44" i="16"/>
  <c r="AW44" i="16"/>
  <c r="BA44" i="16"/>
  <c r="I45" i="16"/>
  <c r="M45" i="16"/>
  <c r="Q45" i="16"/>
  <c r="U45" i="16"/>
  <c r="Y45" i="16"/>
  <c r="AC45" i="16"/>
  <c r="AG45" i="16"/>
  <c r="AK45" i="16"/>
  <c r="AO45" i="16"/>
  <c r="AS45" i="16"/>
  <c r="AW45" i="16"/>
  <c r="BA45" i="16"/>
  <c r="I46" i="16"/>
  <c r="I47" i="16"/>
  <c r="M47" i="16"/>
  <c r="Q47" i="16"/>
  <c r="U47" i="16"/>
  <c r="Y47" i="16"/>
  <c r="AC47" i="16"/>
  <c r="AG47" i="16"/>
  <c r="AK47" i="16"/>
  <c r="AO47" i="16"/>
  <c r="AS47" i="16"/>
  <c r="AS220" i="16" s="1"/>
  <c r="AW47" i="16"/>
  <c r="BA47" i="16"/>
  <c r="I48" i="16"/>
  <c r="F49" i="16"/>
  <c r="K49" i="16"/>
  <c r="S49" i="16"/>
  <c r="AA49" i="16"/>
  <c r="AI49" i="16"/>
  <c r="AQ49" i="16"/>
  <c r="AY49" i="16"/>
  <c r="K50" i="16"/>
  <c r="S50" i="16"/>
  <c r="AA50" i="16"/>
  <c r="AI50" i="16"/>
  <c r="AQ50" i="16"/>
  <c r="R55" i="16"/>
  <c r="AD64" i="17"/>
  <c r="AL84" i="16"/>
  <c r="O96" i="16"/>
  <c r="V34" i="16"/>
  <c r="AD36" i="16"/>
  <c r="AX37" i="16"/>
  <c r="R39" i="16"/>
  <c r="AH40" i="16"/>
  <c r="AX41" i="16"/>
  <c r="R43" i="16"/>
  <c r="AH44" i="16"/>
  <c r="F46" i="16"/>
  <c r="G49" i="16"/>
  <c r="V56" i="16"/>
  <c r="V209" i="16" s="1"/>
  <c r="F64" i="17"/>
  <c r="F85" i="16"/>
  <c r="O92" i="16"/>
  <c r="AE98" i="16"/>
  <c r="G55" i="16"/>
  <c r="K55" i="16"/>
  <c r="O55" i="16"/>
  <c r="S55" i="16"/>
  <c r="W55" i="16"/>
  <c r="AA55" i="16"/>
  <c r="AE55" i="16"/>
  <c r="AI55" i="16"/>
  <c r="AM55" i="16"/>
  <c r="AQ55" i="16"/>
  <c r="AU55" i="16"/>
  <c r="AY55" i="16"/>
  <c r="G56" i="16"/>
  <c r="G209" i="16" s="1"/>
  <c r="K56" i="16"/>
  <c r="K209" i="16" s="1"/>
  <c r="O56" i="16"/>
  <c r="O209" i="16" s="1"/>
  <c r="S56" i="16"/>
  <c r="S209" i="16" s="1"/>
  <c r="W56" i="16"/>
  <c r="W209" i="16" s="1"/>
  <c r="AA56" i="16"/>
  <c r="AA209" i="16" s="1"/>
  <c r="AE56" i="16"/>
  <c r="AE209" i="16" s="1"/>
  <c r="AI56" i="16"/>
  <c r="AI209" i="16" s="1"/>
  <c r="AM56" i="16"/>
  <c r="AM209" i="16" s="1"/>
  <c r="AQ56" i="16"/>
  <c r="AQ209" i="16" s="1"/>
  <c r="AU56" i="16"/>
  <c r="AU209" i="16" s="1"/>
  <c r="AY56" i="16"/>
  <c r="AY209" i="16" s="1"/>
  <c r="G57" i="16"/>
  <c r="H277" i="16" s="1"/>
  <c r="K57" i="16"/>
  <c r="G58" i="16"/>
  <c r="K58" i="16"/>
  <c r="O58" i="16"/>
  <c r="S58" i="16"/>
  <c r="W58" i="16"/>
  <c r="AA58" i="16"/>
  <c r="AE58" i="16"/>
  <c r="AI58" i="16"/>
  <c r="AM58" i="16"/>
  <c r="AQ58" i="16"/>
  <c r="AU58" i="16"/>
  <c r="AY58" i="16"/>
  <c r="G60" i="17"/>
  <c r="K60" i="17"/>
  <c r="O60" i="17"/>
  <c r="S60" i="17"/>
  <c r="W60" i="17"/>
  <c r="AA60" i="17"/>
  <c r="AE60" i="17"/>
  <c r="AI60" i="17"/>
  <c r="AM60" i="17"/>
  <c r="G61" i="17"/>
  <c r="K61" i="17"/>
  <c r="O61" i="17"/>
  <c r="S61" i="17"/>
  <c r="W61" i="17"/>
  <c r="AA61" i="17"/>
  <c r="AE61" i="17"/>
  <c r="AI61" i="17"/>
  <c r="AM61" i="17"/>
  <c r="O62" i="17"/>
  <c r="S62" i="17"/>
  <c r="W62" i="17"/>
  <c r="AA62" i="17"/>
  <c r="AE62" i="17"/>
  <c r="AI62" i="17"/>
  <c r="AM62" i="17"/>
  <c r="I63" i="17"/>
  <c r="Q63" i="17"/>
  <c r="Y63" i="17"/>
  <c r="AG63" i="17"/>
  <c r="AO63" i="17"/>
  <c r="I64" i="17"/>
  <c r="Q64" i="17"/>
  <c r="Y64" i="17"/>
  <c r="AG64" i="17"/>
  <c r="AO64" i="17"/>
  <c r="Q65" i="17"/>
  <c r="Y65" i="17"/>
  <c r="AG65" i="17"/>
  <c r="AO65" i="17"/>
  <c r="Q66" i="17"/>
  <c r="AP78" i="16"/>
  <c r="Z81" i="16"/>
  <c r="J84" i="16"/>
  <c r="AP86" i="16"/>
  <c r="J88" i="16"/>
  <c r="Z89" i="16"/>
  <c r="G91" i="16"/>
  <c r="AE92" i="16"/>
  <c r="AU93" i="16"/>
  <c r="O95" i="16"/>
  <c r="AE96" i="16"/>
  <c r="O99" i="16"/>
  <c r="AU101" i="16"/>
  <c r="V105" i="16"/>
  <c r="L49" i="16"/>
  <c r="P49" i="16"/>
  <c r="T49" i="16"/>
  <c r="X49" i="16"/>
  <c r="AB49" i="16"/>
  <c r="AF49" i="16"/>
  <c r="AJ49" i="16"/>
  <c r="AN49" i="16"/>
  <c r="AR49" i="16"/>
  <c r="AV49" i="16"/>
  <c r="AZ49" i="16"/>
  <c r="H50" i="16"/>
  <c r="L50" i="16"/>
  <c r="P50" i="16"/>
  <c r="T50" i="16"/>
  <c r="X50" i="16"/>
  <c r="AB50" i="16"/>
  <c r="AF50" i="16"/>
  <c r="AJ50" i="16"/>
  <c r="AN50" i="16"/>
  <c r="AR50" i="16"/>
  <c r="AV50" i="16"/>
  <c r="H55" i="16"/>
  <c r="L55" i="16"/>
  <c r="P55" i="16"/>
  <c r="T55" i="16"/>
  <c r="X55" i="16"/>
  <c r="AB55" i="16"/>
  <c r="AF55" i="16"/>
  <c r="AJ55" i="16"/>
  <c r="AN55" i="16"/>
  <c r="AR55" i="16"/>
  <c r="AV55" i="16"/>
  <c r="AZ55" i="16"/>
  <c r="H56" i="16"/>
  <c r="H209" i="16" s="1"/>
  <c r="L56" i="16"/>
  <c r="L209" i="16" s="1"/>
  <c r="P56" i="16"/>
  <c r="P209" i="16"/>
  <c r="T56" i="16"/>
  <c r="T209" i="16" s="1"/>
  <c r="AB56" i="16"/>
  <c r="AB209" i="16" s="1"/>
  <c r="AF56" i="16"/>
  <c r="AF209" i="16" s="1"/>
  <c r="AJ56" i="16"/>
  <c r="AJ209" i="16" s="1"/>
  <c r="AN56" i="16"/>
  <c r="AN209" i="16" s="1"/>
  <c r="AR56" i="16"/>
  <c r="AR209" i="16" s="1"/>
  <c r="AV56" i="16"/>
  <c r="AV209" i="16" s="1"/>
  <c r="AZ56" i="16"/>
  <c r="AZ209" i="16" s="1"/>
  <c r="H57" i="16"/>
  <c r="L57" i="16"/>
  <c r="H58" i="16"/>
  <c r="L58" i="16"/>
  <c r="P58" i="16"/>
  <c r="T58" i="16"/>
  <c r="X58" i="16"/>
  <c r="Y278" i="16" s="1"/>
  <c r="AB58" i="16"/>
  <c r="AF58" i="16"/>
  <c r="AJ58" i="16"/>
  <c r="AN58" i="16"/>
  <c r="AR58" i="16"/>
  <c r="AV58" i="16"/>
  <c r="AZ58" i="16"/>
  <c r="H60" i="17"/>
  <c r="L60" i="17"/>
  <c r="P60" i="17"/>
  <c r="T60" i="17"/>
  <c r="X60" i="17"/>
  <c r="AF60" i="17"/>
  <c r="AJ60" i="17"/>
  <c r="AN60" i="17"/>
  <c r="H61" i="17"/>
  <c r="L61" i="17"/>
  <c r="P61" i="17"/>
  <c r="T61" i="17"/>
  <c r="X61" i="17"/>
  <c r="AB61" i="17"/>
  <c r="AF61" i="17"/>
  <c r="AJ61" i="17"/>
  <c r="AN61" i="17"/>
  <c r="T62" i="17"/>
  <c r="X62" i="17"/>
  <c r="AB62" i="17"/>
  <c r="AF62" i="17"/>
  <c r="AJ62" i="17"/>
  <c r="AN62" i="17"/>
  <c r="J63" i="17"/>
  <c r="N78" i="16"/>
  <c r="AT80" i="16"/>
  <c r="AD83" i="16"/>
  <c r="N86" i="16"/>
  <c r="AD87" i="16"/>
  <c r="AT88" i="16"/>
  <c r="AE89" i="16"/>
  <c r="AU92" i="16"/>
  <c r="O94" i="16"/>
  <c r="AE95" i="16"/>
  <c r="O97" i="16"/>
  <c r="AE102" i="16"/>
  <c r="I49" i="16"/>
  <c r="M49" i="16"/>
  <c r="Q49" i="16"/>
  <c r="U49" i="16"/>
  <c r="Y49" i="16"/>
  <c r="AC49" i="16"/>
  <c r="AG49" i="16"/>
  <c r="AK49" i="16"/>
  <c r="AO49" i="16"/>
  <c r="AS49" i="16"/>
  <c r="AW49" i="16"/>
  <c r="BA49" i="16"/>
  <c r="I50" i="16"/>
  <c r="M50" i="16"/>
  <c r="Q50" i="16"/>
  <c r="U50" i="16"/>
  <c r="Y50" i="16"/>
  <c r="AC50" i="16"/>
  <c r="AG50" i="16"/>
  <c r="AK50" i="16"/>
  <c r="AO50" i="16"/>
  <c r="AS50" i="16"/>
  <c r="BA50" i="16"/>
  <c r="I55" i="16"/>
  <c r="M55" i="16"/>
  <c r="Q55" i="16"/>
  <c r="U55" i="16"/>
  <c r="Y55" i="16"/>
  <c r="AC55" i="16"/>
  <c r="AG55" i="16"/>
  <c r="AK55" i="16"/>
  <c r="AO55" i="16"/>
  <c r="AS55" i="16"/>
  <c r="AW55" i="16"/>
  <c r="BA55" i="16"/>
  <c r="I56" i="16"/>
  <c r="I209" i="16" s="1"/>
  <c r="M56" i="16"/>
  <c r="M209" i="16" s="1"/>
  <c r="Q56" i="16"/>
  <c r="Q209" i="16" s="1"/>
  <c r="U56" i="16"/>
  <c r="U209" i="16" s="1"/>
  <c r="Y56" i="16"/>
  <c r="Y209" i="16" s="1"/>
  <c r="AC56" i="16"/>
  <c r="AC209" i="16" s="1"/>
  <c r="AG56" i="16"/>
  <c r="AG209" i="16" s="1"/>
  <c r="AK56" i="16"/>
  <c r="AK209" i="16" s="1"/>
  <c r="AO56" i="16"/>
  <c r="AO209" i="16" s="1"/>
  <c r="AS56" i="16"/>
  <c r="AS209" i="16" s="1"/>
  <c r="AW56" i="16"/>
  <c r="AW209" i="16" s="1"/>
  <c r="BA56" i="16"/>
  <c r="BA209" i="16" s="1"/>
  <c r="I57" i="16"/>
  <c r="M57" i="16"/>
  <c r="I58" i="16"/>
  <c r="M58" i="16"/>
  <c r="Q58" i="16"/>
  <c r="U58" i="16"/>
  <c r="Y58" i="16"/>
  <c r="AC58" i="16"/>
  <c r="AG58" i="16"/>
  <c r="AK58" i="16"/>
  <c r="AO58" i="16"/>
  <c r="AS58" i="16"/>
  <c r="AW58" i="16"/>
  <c r="BA58" i="16"/>
  <c r="I60" i="17"/>
  <c r="M60" i="17"/>
  <c r="Q60" i="17"/>
  <c r="U60" i="17"/>
  <c r="Y60" i="17"/>
  <c r="AC60" i="17"/>
  <c r="AG60" i="17"/>
  <c r="AK60" i="17"/>
  <c r="AO60" i="17"/>
  <c r="AQ60" i="17"/>
  <c r="I61" i="17"/>
  <c r="M61" i="17"/>
  <c r="Q61" i="17"/>
  <c r="U61" i="17"/>
  <c r="Y61" i="17"/>
  <c r="AC61" i="17"/>
  <c r="AG61" i="17"/>
  <c r="AK61" i="17"/>
  <c r="AO61" i="17"/>
  <c r="AQ61" i="17"/>
  <c r="Q62" i="17"/>
  <c r="U62" i="17"/>
  <c r="Y62" i="17"/>
  <c r="AC62" i="17"/>
  <c r="AG62" i="17"/>
  <c r="AK62" i="17"/>
  <c r="AO62" i="17"/>
  <c r="AQ62" i="17"/>
  <c r="M63" i="17"/>
  <c r="U63" i="17"/>
  <c r="AC63" i="17"/>
  <c r="AK63" i="17"/>
  <c r="AQ63" i="17"/>
  <c r="M64" i="17"/>
  <c r="U64" i="17"/>
  <c r="AC64" i="17"/>
  <c r="AK64" i="17"/>
  <c r="AQ64" i="17"/>
  <c r="U65" i="17"/>
  <c r="AC65" i="17"/>
  <c r="AK65" i="17"/>
  <c r="AQ65" i="17"/>
  <c r="U66" i="17"/>
  <c r="R80" i="16"/>
  <c r="AX82" i="16"/>
  <c r="AH85" i="16"/>
  <c r="R88" i="16"/>
  <c r="AM89" i="16"/>
  <c r="G92" i="16"/>
  <c r="O93" i="16"/>
  <c r="AE94" i="16"/>
  <c r="AU95" i="16"/>
  <c r="AU97" i="16"/>
  <c r="AE100" i="16"/>
  <c r="O103" i="16"/>
  <c r="O204" i="16" s="1"/>
  <c r="G63" i="17"/>
  <c r="K63" i="17"/>
  <c r="O63" i="17"/>
  <c r="S63" i="17"/>
  <c r="W63" i="17"/>
  <c r="AE63" i="17"/>
  <c r="AI63" i="17"/>
  <c r="AM63" i="17"/>
  <c r="G64" i="17"/>
  <c r="K64" i="17"/>
  <c r="O64" i="17"/>
  <c r="S64" i="17"/>
  <c r="W64" i="17"/>
  <c r="AA64" i="17"/>
  <c r="AE64" i="17"/>
  <c r="AI64" i="17"/>
  <c r="AM64" i="17"/>
  <c r="O65" i="17"/>
  <c r="S65" i="17"/>
  <c r="W65" i="17"/>
  <c r="AA65" i="17"/>
  <c r="AE65" i="17"/>
  <c r="AI65" i="17"/>
  <c r="AM65" i="17"/>
  <c r="O66" i="17"/>
  <c r="S66" i="17"/>
  <c r="W66" i="17"/>
  <c r="AA66" i="17"/>
  <c r="AE66" i="17"/>
  <c r="AI66" i="17"/>
  <c r="AM66" i="17"/>
  <c r="G78" i="16"/>
  <c r="K78" i="16"/>
  <c r="O78" i="16"/>
  <c r="S78" i="16"/>
  <c r="T283" i="16" s="1"/>
  <c r="W78" i="16"/>
  <c r="AA78" i="16"/>
  <c r="AE78" i="16"/>
  <c r="AI78" i="16"/>
  <c r="AM78" i="16"/>
  <c r="AQ78" i="16"/>
  <c r="AU78" i="16"/>
  <c r="AY78" i="16"/>
  <c r="G79" i="16"/>
  <c r="K79" i="16"/>
  <c r="O79" i="16"/>
  <c r="S79" i="16"/>
  <c r="W79" i="16"/>
  <c r="AA79" i="16"/>
  <c r="AE79" i="16"/>
  <c r="AI79" i="16"/>
  <c r="AM79" i="16"/>
  <c r="AQ79" i="16"/>
  <c r="AU79" i="16"/>
  <c r="AY79" i="16"/>
  <c r="G80" i="16"/>
  <c r="K80" i="16"/>
  <c r="O80" i="16"/>
  <c r="S80" i="16"/>
  <c r="W80" i="16"/>
  <c r="AA80" i="16"/>
  <c r="AE80" i="16"/>
  <c r="AI80" i="16"/>
  <c r="AM80" i="16"/>
  <c r="AQ80" i="16"/>
  <c r="AU80" i="16"/>
  <c r="AY80" i="16"/>
  <c r="G81" i="16"/>
  <c r="H285" i="16" s="1"/>
  <c r="K81" i="16"/>
  <c r="O81" i="16"/>
  <c r="S81" i="16"/>
  <c r="W81" i="16"/>
  <c r="AA81" i="16"/>
  <c r="AB285" i="16" s="1"/>
  <c r="AE81" i="16"/>
  <c r="AI81" i="16"/>
  <c r="AM81" i="16"/>
  <c r="AQ81" i="16"/>
  <c r="AU81" i="16"/>
  <c r="AU155" i="16" s="1"/>
  <c r="AY81" i="16"/>
  <c r="G82" i="16"/>
  <c r="K82" i="16"/>
  <c r="O82" i="16"/>
  <c r="S82" i="16"/>
  <c r="W82" i="16"/>
  <c r="AA82" i="16"/>
  <c r="AE82" i="16"/>
  <c r="AI82" i="16"/>
  <c r="AM82" i="16"/>
  <c r="AQ82" i="16"/>
  <c r="AU82" i="16"/>
  <c r="AY82" i="16"/>
  <c r="G83" i="16"/>
  <c r="K83" i="16"/>
  <c r="O83" i="16"/>
  <c r="S83" i="16"/>
  <c r="W83" i="16"/>
  <c r="AA83" i="16"/>
  <c r="AE83" i="16"/>
  <c r="AI83" i="16"/>
  <c r="AM83" i="16"/>
  <c r="AQ83" i="16"/>
  <c r="AU83" i="16"/>
  <c r="AY83" i="16"/>
  <c r="G84" i="16"/>
  <c r="K84" i="16"/>
  <c r="O84" i="16"/>
  <c r="S84" i="16"/>
  <c r="T287" i="16" s="1"/>
  <c r="W84" i="16"/>
  <c r="AA84" i="16"/>
  <c r="AE84" i="16"/>
  <c r="AI84" i="16"/>
  <c r="AM84" i="16"/>
  <c r="AQ84" i="16"/>
  <c r="AU84" i="16"/>
  <c r="AY84" i="16"/>
  <c r="G85" i="16"/>
  <c r="K85" i="16"/>
  <c r="O85" i="16"/>
  <c r="S85" i="16"/>
  <c r="W85" i="16"/>
  <c r="AA85" i="16"/>
  <c r="AA221" i="16" s="1"/>
  <c r="AE85" i="16"/>
  <c r="AI85" i="16"/>
  <c r="AM85" i="16"/>
  <c r="AQ85" i="16"/>
  <c r="AU85" i="16"/>
  <c r="AY85" i="16"/>
  <c r="G86" i="16"/>
  <c r="K86" i="16"/>
  <c r="O86" i="16"/>
  <c r="S86" i="16"/>
  <c r="W86" i="16"/>
  <c r="AA86" i="16"/>
  <c r="AE86" i="16"/>
  <c r="AI86" i="16"/>
  <c r="AM86" i="16"/>
  <c r="AQ86" i="16"/>
  <c r="AU86" i="16"/>
  <c r="AY86" i="16"/>
  <c r="G87" i="16"/>
  <c r="K87" i="16"/>
  <c r="O87" i="16"/>
  <c r="S87" i="16"/>
  <c r="W87" i="16"/>
  <c r="AA87" i="16"/>
  <c r="AE87" i="16"/>
  <c r="AI87" i="16"/>
  <c r="AM87" i="16"/>
  <c r="AQ87" i="16"/>
  <c r="AU87" i="16"/>
  <c r="AY87" i="16"/>
  <c r="G88" i="16"/>
  <c r="H290" i="16" s="1"/>
  <c r="K88" i="16"/>
  <c r="O88" i="16"/>
  <c r="S88" i="16"/>
  <c r="W88" i="16"/>
  <c r="AA88" i="16"/>
  <c r="AE88" i="16"/>
  <c r="AI88" i="16"/>
  <c r="AM88" i="16"/>
  <c r="AQ88" i="16"/>
  <c r="AU88" i="16"/>
  <c r="AY88" i="16"/>
  <c r="G89" i="16"/>
  <c r="K89" i="16"/>
  <c r="O89" i="16"/>
  <c r="S89" i="16"/>
  <c r="W89" i="16"/>
  <c r="AA89" i="16"/>
  <c r="AF89" i="16"/>
  <c r="AN89" i="16"/>
  <c r="AV89" i="16"/>
  <c r="H91" i="16"/>
  <c r="H92" i="16"/>
  <c r="S92" i="16"/>
  <c r="AI92" i="16"/>
  <c r="AY92" i="16"/>
  <c r="S93" i="16"/>
  <c r="AI93" i="16"/>
  <c r="AY93" i="16"/>
  <c r="S94" i="16"/>
  <c r="AI94" i="16"/>
  <c r="AY94" i="16"/>
  <c r="S95" i="16"/>
  <c r="AI95" i="16"/>
  <c r="AY95" i="16"/>
  <c r="S96" i="16"/>
  <c r="AM96" i="16"/>
  <c r="W97" i="16"/>
  <c r="G98" i="16"/>
  <c r="AM98" i="16"/>
  <c r="W99" i="16"/>
  <c r="G100" i="16"/>
  <c r="AM100" i="16"/>
  <c r="W101" i="16"/>
  <c r="G102" i="16"/>
  <c r="AM102" i="16"/>
  <c r="W103" i="16"/>
  <c r="W204" i="16" s="1"/>
  <c r="G104" i="16"/>
  <c r="H63" i="17"/>
  <c r="L63" i="17"/>
  <c r="P63" i="17"/>
  <c r="T63" i="17"/>
  <c r="X63" i="17"/>
  <c r="AB63" i="17"/>
  <c r="AF63" i="17"/>
  <c r="AJ63" i="17"/>
  <c r="AN63" i="17"/>
  <c r="H64" i="17"/>
  <c r="L64" i="17"/>
  <c r="X64" i="17"/>
  <c r="AB64" i="17"/>
  <c r="AF64" i="17"/>
  <c r="AJ64" i="17"/>
  <c r="AN64" i="17"/>
  <c r="P65" i="17"/>
  <c r="T65" i="17"/>
  <c r="X65" i="17"/>
  <c r="AB65" i="17"/>
  <c r="AF65" i="17"/>
  <c r="AJ65" i="17"/>
  <c r="AN65" i="17"/>
  <c r="P66" i="17"/>
  <c r="T66" i="17"/>
  <c r="X66" i="17"/>
  <c r="AB66" i="17"/>
  <c r="AF66" i="17"/>
  <c r="AJ66" i="17"/>
  <c r="AN66" i="17"/>
  <c r="H78" i="16"/>
  <c r="L78" i="16"/>
  <c r="P78" i="16"/>
  <c r="T78" i="16"/>
  <c r="X78" i="16"/>
  <c r="AB78" i="16"/>
  <c r="AF78" i="16"/>
  <c r="AJ78" i="16"/>
  <c r="AN78" i="16"/>
  <c r="AR78" i="16"/>
  <c r="AV78" i="16"/>
  <c r="AZ78" i="16"/>
  <c r="H79" i="16"/>
  <c r="L79" i="16"/>
  <c r="P79" i="16"/>
  <c r="T79" i="16"/>
  <c r="X79" i="16"/>
  <c r="AB79" i="16"/>
  <c r="AF79" i="16"/>
  <c r="AJ79" i="16"/>
  <c r="AN79" i="16"/>
  <c r="AR79" i="16"/>
  <c r="AV79" i="16"/>
  <c r="AZ79" i="16"/>
  <c r="H80" i="16"/>
  <c r="L80" i="16"/>
  <c r="P80" i="16"/>
  <c r="T80" i="16"/>
  <c r="X80" i="16"/>
  <c r="AB80" i="16"/>
  <c r="AF80" i="16"/>
  <c r="AJ80" i="16"/>
  <c r="AN80" i="16"/>
  <c r="AR80" i="16"/>
  <c r="AZ80" i="16"/>
  <c r="H81" i="16"/>
  <c r="I285" i="16" s="1"/>
  <c r="L81" i="16"/>
  <c r="P81" i="16"/>
  <c r="T81" i="16"/>
  <c r="U285" i="16" s="1"/>
  <c r="X81" i="16"/>
  <c r="AB81" i="16"/>
  <c r="AF81" i="16"/>
  <c r="AJ81" i="16"/>
  <c r="AN81" i="16"/>
  <c r="AR81" i="16"/>
  <c r="AV81" i="16"/>
  <c r="AZ81" i="16"/>
  <c r="BA285" i="16" s="1"/>
  <c r="H82" i="16"/>
  <c r="L82" i="16"/>
  <c r="P82" i="16"/>
  <c r="T82" i="16"/>
  <c r="X82" i="16"/>
  <c r="AB82" i="16"/>
  <c r="AF82" i="16"/>
  <c r="AJ82" i="16"/>
  <c r="AN82" i="16"/>
  <c r="AR82" i="16"/>
  <c r="AV82" i="16"/>
  <c r="AZ82" i="16"/>
  <c r="H83" i="16"/>
  <c r="L83" i="16"/>
  <c r="P83" i="16"/>
  <c r="T83" i="16"/>
  <c r="X83" i="16"/>
  <c r="AB83" i="16"/>
  <c r="AF83" i="16"/>
  <c r="AJ83" i="16"/>
  <c r="AN83" i="16"/>
  <c r="AR83" i="16"/>
  <c r="AV83" i="16"/>
  <c r="AZ83" i="16"/>
  <c r="H84" i="16"/>
  <c r="L84" i="16"/>
  <c r="P84" i="16"/>
  <c r="T84" i="16"/>
  <c r="X84" i="16"/>
  <c r="AB84" i="16"/>
  <c r="AF84" i="16"/>
  <c r="AJ84" i="16"/>
  <c r="AN84" i="16"/>
  <c r="AR84" i="16"/>
  <c r="AV84" i="16"/>
  <c r="AZ84" i="16"/>
  <c r="H85" i="16"/>
  <c r="L85" i="16"/>
  <c r="P85" i="16"/>
  <c r="T85" i="16"/>
  <c r="X85" i="16"/>
  <c r="AB85" i="16"/>
  <c r="AF85" i="16"/>
  <c r="AJ85" i="16"/>
  <c r="AN85" i="16"/>
  <c r="AR85" i="16"/>
  <c r="AV85" i="16"/>
  <c r="AZ85" i="16"/>
  <c r="H86" i="16"/>
  <c r="L86" i="16"/>
  <c r="P86" i="16"/>
  <c r="T86" i="16"/>
  <c r="X86" i="16"/>
  <c r="AB86" i="16"/>
  <c r="AF86" i="16"/>
  <c r="AJ86" i="16"/>
  <c r="AN86" i="16"/>
  <c r="AR86" i="16"/>
  <c r="AV86" i="16"/>
  <c r="AZ86" i="16"/>
  <c r="H87" i="16"/>
  <c r="L87" i="16"/>
  <c r="P87" i="16"/>
  <c r="T87" i="16"/>
  <c r="X87" i="16"/>
  <c r="AB87" i="16"/>
  <c r="AF87" i="16"/>
  <c r="AJ87" i="16"/>
  <c r="AN87" i="16"/>
  <c r="AR87" i="16"/>
  <c r="AV87" i="16"/>
  <c r="AZ87" i="16"/>
  <c r="H88" i="16"/>
  <c r="L88" i="16"/>
  <c r="P88" i="16"/>
  <c r="T88" i="16"/>
  <c r="X88" i="16"/>
  <c r="AB88" i="16"/>
  <c r="AF88" i="16"/>
  <c r="AJ88" i="16"/>
  <c r="AN88" i="16"/>
  <c r="AR88" i="16"/>
  <c r="AV88" i="16"/>
  <c r="AZ88" i="16"/>
  <c r="H89" i="16"/>
  <c r="L89" i="16"/>
  <c r="T89" i="16"/>
  <c r="X89" i="16"/>
  <c r="AB89" i="16"/>
  <c r="AI89" i="16"/>
  <c r="AQ89" i="16"/>
  <c r="AY89" i="16"/>
  <c r="K91" i="16"/>
  <c r="K92" i="16"/>
  <c r="W92" i="16"/>
  <c r="AM92" i="16"/>
  <c r="G93" i="16"/>
  <c r="W93" i="16"/>
  <c r="AM93" i="16"/>
  <c r="G94" i="16"/>
  <c r="W94" i="16"/>
  <c r="AM94" i="16"/>
  <c r="G95" i="16"/>
  <c r="W95" i="16"/>
  <c r="W160" i="16" s="1"/>
  <c r="AM95" i="16"/>
  <c r="G96" i="16"/>
  <c r="W96" i="16"/>
  <c r="AU96" i="16"/>
  <c r="AE97" i="16"/>
  <c r="O98" i="16"/>
  <c r="AU98" i="16"/>
  <c r="AE99" i="16"/>
  <c r="O100" i="16"/>
  <c r="AU100" i="16"/>
  <c r="AE101" i="16"/>
  <c r="O102" i="16"/>
  <c r="AU102" i="16"/>
  <c r="AE103" i="16"/>
  <c r="AE204" i="16" s="1"/>
  <c r="AT107" i="16"/>
  <c r="Y66" i="17"/>
  <c r="AC66" i="17"/>
  <c r="AG66" i="17"/>
  <c r="AK66" i="17"/>
  <c r="AO66" i="17"/>
  <c r="AQ66" i="17"/>
  <c r="I78" i="16"/>
  <c r="M78" i="16"/>
  <c r="Q78" i="16"/>
  <c r="U78" i="16"/>
  <c r="Y78" i="16"/>
  <c r="AC78" i="16"/>
  <c r="AG78" i="16"/>
  <c r="AK78" i="16"/>
  <c r="AO78" i="16"/>
  <c r="AS78" i="16"/>
  <c r="AS149" i="16" s="1"/>
  <c r="AW78" i="16"/>
  <c r="BA78" i="16"/>
  <c r="I79" i="16"/>
  <c r="M79" i="16"/>
  <c r="Q79" i="16"/>
  <c r="U79" i="16"/>
  <c r="Y79" i="16"/>
  <c r="AC79" i="16"/>
  <c r="AG79" i="16"/>
  <c r="AK79" i="16"/>
  <c r="AO79" i="16"/>
  <c r="AS79" i="16"/>
  <c r="AW79" i="16"/>
  <c r="BA79" i="16"/>
  <c r="I80" i="16"/>
  <c r="M80" i="16"/>
  <c r="Q80" i="16"/>
  <c r="U80" i="16"/>
  <c r="Y80" i="16"/>
  <c r="AC80" i="16"/>
  <c r="AG80" i="16"/>
  <c r="AK80" i="16"/>
  <c r="AO80" i="16"/>
  <c r="AS80" i="16"/>
  <c r="AW80" i="16"/>
  <c r="BA80" i="16"/>
  <c r="BA184" i="16" s="1"/>
  <c r="I81" i="16"/>
  <c r="M81" i="16"/>
  <c r="N285" i="16" s="1"/>
  <c r="Q81" i="16"/>
  <c r="U81" i="16"/>
  <c r="Y81" i="16"/>
  <c r="AC81" i="16"/>
  <c r="AG81" i="16"/>
  <c r="AK81" i="16"/>
  <c r="AO81" i="16"/>
  <c r="AS81" i="16"/>
  <c r="AW81" i="16"/>
  <c r="BA81" i="16"/>
  <c r="I82" i="16"/>
  <c r="M82" i="16"/>
  <c r="N286" i="16" s="1"/>
  <c r="Q82" i="16"/>
  <c r="U82" i="16"/>
  <c r="Y82" i="16"/>
  <c r="AC82" i="16"/>
  <c r="AG82" i="16"/>
  <c r="AK82" i="16"/>
  <c r="AO82" i="16"/>
  <c r="AS82" i="16"/>
  <c r="AW82" i="16"/>
  <c r="BA82" i="16"/>
  <c r="I83" i="16"/>
  <c r="M83" i="16"/>
  <c r="Q83" i="16"/>
  <c r="U83" i="16"/>
  <c r="AC83" i="16"/>
  <c r="AG83" i="16"/>
  <c r="AK83" i="16"/>
  <c r="AO83" i="16"/>
  <c r="AS83" i="16"/>
  <c r="AW83" i="16"/>
  <c r="BA83" i="16"/>
  <c r="I84" i="16"/>
  <c r="M84" i="16"/>
  <c r="Q84" i="16"/>
  <c r="U84" i="16"/>
  <c r="V287" i="16" s="1"/>
  <c r="Y84" i="16"/>
  <c r="AC84" i="16"/>
  <c r="AG84" i="16"/>
  <c r="AK84" i="16"/>
  <c r="AL287" i="16" s="1"/>
  <c r="AO84" i="16"/>
  <c r="AW84" i="16"/>
  <c r="BA84" i="16"/>
  <c r="I85" i="16"/>
  <c r="M85" i="16"/>
  <c r="Q85" i="16"/>
  <c r="U85" i="16"/>
  <c r="Y85" i="16"/>
  <c r="AC85" i="16"/>
  <c r="AG85" i="16"/>
  <c r="AO85" i="16"/>
  <c r="AS85" i="16"/>
  <c r="AW85" i="16"/>
  <c r="BA85" i="16"/>
  <c r="I86" i="16"/>
  <c r="M86" i="16"/>
  <c r="Q86" i="16"/>
  <c r="U86" i="16"/>
  <c r="Y86" i="16"/>
  <c r="AC86" i="16"/>
  <c r="AG86" i="16"/>
  <c r="AK86" i="16"/>
  <c r="AO86" i="16"/>
  <c r="AS86" i="16"/>
  <c r="AW86" i="16"/>
  <c r="BA86" i="16"/>
  <c r="I87" i="16"/>
  <c r="M87" i="16"/>
  <c r="Q87" i="16"/>
  <c r="U87" i="16"/>
  <c r="Y87" i="16"/>
  <c r="AC87" i="16"/>
  <c r="AG87" i="16"/>
  <c r="AK87" i="16"/>
  <c r="AO87" i="16"/>
  <c r="AS87" i="16"/>
  <c r="AW87" i="16"/>
  <c r="BA87" i="16"/>
  <c r="M88" i="16"/>
  <c r="Q88" i="16"/>
  <c r="U88" i="16"/>
  <c r="Y88" i="16"/>
  <c r="AC88" i="16"/>
  <c r="AG88" i="16"/>
  <c r="AO88" i="16"/>
  <c r="AS88" i="16"/>
  <c r="AW88" i="16"/>
  <c r="BA88" i="16"/>
  <c r="I89" i="16"/>
  <c r="M89" i="16"/>
  <c r="Q89" i="16"/>
  <c r="U89" i="16"/>
  <c r="Y89" i="16"/>
  <c r="AD89" i="16"/>
  <c r="AJ89" i="16"/>
  <c r="AR89" i="16"/>
  <c r="AZ89" i="16"/>
  <c r="L91" i="16"/>
  <c r="L92" i="16"/>
  <c r="AA92" i="16"/>
  <c r="AQ92" i="16"/>
  <c r="K93" i="16"/>
  <c r="AA93" i="16"/>
  <c r="AQ93" i="16"/>
  <c r="K94" i="16"/>
  <c r="AA94" i="16"/>
  <c r="AQ94" i="16"/>
  <c r="K95" i="16"/>
  <c r="AA95" i="16"/>
  <c r="AQ95" i="16"/>
  <c r="K96" i="16"/>
  <c r="AA96" i="16"/>
  <c r="G97" i="16"/>
  <c r="AM97" i="16"/>
  <c r="W98" i="16"/>
  <c r="G99" i="16"/>
  <c r="AM99" i="16"/>
  <c r="W100" i="16"/>
  <c r="G101" i="16"/>
  <c r="AM101" i="16"/>
  <c r="W102" i="16"/>
  <c r="G103" i="16"/>
  <c r="G203" i="16" s="1"/>
  <c r="AM103" i="16"/>
  <c r="AM204" i="16" s="1"/>
  <c r="P92" i="16"/>
  <c r="T92" i="16"/>
  <c r="X92" i="16"/>
  <c r="AB92" i="16"/>
  <c r="AF92" i="16"/>
  <c r="AJ92" i="16"/>
  <c r="AN92" i="16"/>
  <c r="AR92" i="16"/>
  <c r="AV92" i="16"/>
  <c r="AZ92" i="16"/>
  <c r="H93" i="16"/>
  <c r="L93" i="16"/>
  <c r="P93" i="16"/>
  <c r="T93" i="16"/>
  <c r="X93" i="16"/>
  <c r="AB93" i="16"/>
  <c r="AF93" i="16"/>
  <c r="AJ93" i="16"/>
  <c r="AN93" i="16"/>
  <c r="AR93" i="16"/>
  <c r="AV93" i="16"/>
  <c r="AZ93" i="16"/>
  <c r="H94" i="16"/>
  <c r="L94" i="16"/>
  <c r="P94" i="16"/>
  <c r="T94" i="16"/>
  <c r="X94" i="16"/>
  <c r="AB94" i="16"/>
  <c r="AF94" i="16"/>
  <c r="AJ94" i="16"/>
  <c r="AN94" i="16"/>
  <c r="AR94" i="16"/>
  <c r="AV94" i="16"/>
  <c r="AZ94" i="16"/>
  <c r="H95" i="16"/>
  <c r="L95" i="16"/>
  <c r="P95" i="16"/>
  <c r="T95" i="16"/>
  <c r="X95" i="16"/>
  <c r="AB95" i="16"/>
  <c r="AF95" i="16"/>
  <c r="AJ95" i="16"/>
  <c r="AJ160" i="16" s="1"/>
  <c r="AN95" i="16"/>
  <c r="AR95" i="16"/>
  <c r="AV95" i="16"/>
  <c r="AZ95" i="16"/>
  <c r="L96" i="16"/>
  <c r="P96" i="16"/>
  <c r="T96" i="16"/>
  <c r="X96" i="16"/>
  <c r="AB96" i="16"/>
  <c r="AP96" i="16"/>
  <c r="Z97" i="16"/>
  <c r="J98" i="16"/>
  <c r="AP98" i="16"/>
  <c r="Z99" i="16"/>
  <c r="J100" i="16"/>
  <c r="AP100" i="16"/>
  <c r="Z101" i="16"/>
  <c r="Z140" i="16" s="1"/>
  <c r="J102" i="16"/>
  <c r="AP102" i="16"/>
  <c r="Z103" i="16"/>
  <c r="Z204" i="16" s="1"/>
  <c r="K104" i="16"/>
  <c r="AA104" i="16"/>
  <c r="AT106" i="16"/>
  <c r="AC89" i="16"/>
  <c r="AG89" i="16"/>
  <c r="AK89" i="16"/>
  <c r="AO89" i="16"/>
  <c r="AS89" i="16"/>
  <c r="AW89" i="16"/>
  <c r="BA89" i="16"/>
  <c r="I91" i="16"/>
  <c r="I92" i="16"/>
  <c r="M92" i="16"/>
  <c r="Q92" i="16"/>
  <c r="U92" i="16"/>
  <c r="Y92" i="16"/>
  <c r="AC92" i="16"/>
  <c r="AG92" i="16"/>
  <c r="AK92" i="16"/>
  <c r="AO92" i="16"/>
  <c r="AS92" i="16"/>
  <c r="AW92" i="16"/>
  <c r="BA92" i="16"/>
  <c r="I93" i="16"/>
  <c r="M93" i="16"/>
  <c r="Q93" i="16"/>
  <c r="U93" i="16"/>
  <c r="Y93" i="16"/>
  <c r="AC93" i="16"/>
  <c r="AG93" i="16"/>
  <c r="AK93" i="16"/>
  <c r="AO93" i="16"/>
  <c r="AS93" i="16"/>
  <c r="AW93" i="16"/>
  <c r="BA93" i="16"/>
  <c r="I94" i="16"/>
  <c r="M94" i="16"/>
  <c r="Q94" i="16"/>
  <c r="U94" i="16"/>
  <c r="Y94" i="16"/>
  <c r="AC94" i="16"/>
  <c r="AG94" i="16"/>
  <c r="AK94" i="16"/>
  <c r="AO94" i="16"/>
  <c r="AS94" i="16"/>
  <c r="AW94" i="16"/>
  <c r="BA94" i="16"/>
  <c r="I95" i="16"/>
  <c r="M95" i="16"/>
  <c r="Q95" i="16"/>
  <c r="U95" i="16"/>
  <c r="U160" i="16"/>
  <c r="Y95" i="16"/>
  <c r="AC95" i="16"/>
  <c r="AG95" i="16"/>
  <c r="AK95" i="16"/>
  <c r="AO95" i="16"/>
  <c r="AS95" i="16"/>
  <c r="AW95" i="16"/>
  <c r="BA95" i="16"/>
  <c r="I96" i="16"/>
  <c r="M96" i="16"/>
  <c r="Q96" i="16"/>
  <c r="U96" i="16"/>
  <c r="Y96" i="16"/>
  <c r="AC96" i="16"/>
  <c r="AI96" i="16"/>
  <c r="AQ96" i="16"/>
  <c r="AY96" i="16"/>
  <c r="K97" i="16"/>
  <c r="S97" i="16"/>
  <c r="AA97" i="16"/>
  <c r="AI97" i="16"/>
  <c r="AQ97" i="16"/>
  <c r="AY97" i="16"/>
  <c r="K98" i="16"/>
  <c r="S98" i="16"/>
  <c r="AA98" i="16"/>
  <c r="AI98" i="16"/>
  <c r="AQ98" i="16"/>
  <c r="AY98" i="16"/>
  <c r="K99" i="16"/>
  <c r="S99" i="16"/>
  <c r="AA99" i="16"/>
  <c r="AI99" i="16"/>
  <c r="AQ99" i="16"/>
  <c r="AY99" i="16"/>
  <c r="K100" i="16"/>
  <c r="S100" i="16"/>
  <c r="AA100" i="16"/>
  <c r="AI100" i="16"/>
  <c r="AQ100" i="16"/>
  <c r="AY100" i="16"/>
  <c r="K101" i="16"/>
  <c r="S101" i="16"/>
  <c r="AA101" i="16"/>
  <c r="AI101" i="16"/>
  <c r="AQ101" i="16"/>
  <c r="AY101" i="16"/>
  <c r="K102" i="16"/>
  <c r="S102" i="16"/>
  <c r="AA102" i="16"/>
  <c r="AI102" i="16"/>
  <c r="AQ102" i="16"/>
  <c r="AY102" i="16"/>
  <c r="K103" i="16"/>
  <c r="K204" i="16" s="1"/>
  <c r="S103" i="16"/>
  <c r="S204" i="16" s="1"/>
  <c r="AA103" i="16"/>
  <c r="AA204" i="16" s="1"/>
  <c r="AI103" i="16"/>
  <c r="AI204" i="16" s="1"/>
  <c r="AQ103" i="16"/>
  <c r="AQ204" i="16" s="1"/>
  <c r="AY103" i="16"/>
  <c r="AY204" i="16" s="1"/>
  <c r="F105" i="16"/>
  <c r="N112" i="16"/>
  <c r="AT89" i="16"/>
  <c r="F92" i="16"/>
  <c r="V92" i="16"/>
  <c r="AP92" i="16"/>
  <c r="J93" i="16"/>
  <c r="Z93" i="16"/>
  <c r="AP93" i="16"/>
  <c r="J94" i="16"/>
  <c r="Z94" i="16"/>
  <c r="AP94" i="16"/>
  <c r="J95" i="16"/>
  <c r="Z95" i="16"/>
  <c r="AP95" i="16"/>
  <c r="J96" i="16"/>
  <c r="Z96" i="16"/>
  <c r="F97" i="16"/>
  <c r="AL97" i="16"/>
  <c r="V98" i="16"/>
  <c r="F99" i="16"/>
  <c r="AL99" i="16"/>
  <c r="V100" i="16"/>
  <c r="F101" i="16"/>
  <c r="AL101" i="16"/>
  <c r="V102" i="16"/>
  <c r="F103" i="16"/>
  <c r="F204" i="16" s="1"/>
  <c r="AD103" i="16"/>
  <c r="AD204" i="16" s="1"/>
  <c r="S104" i="16"/>
  <c r="AI104" i="16"/>
  <c r="AD107" i="16"/>
  <c r="AF96" i="16"/>
  <c r="AJ96" i="16"/>
  <c r="AN96" i="16"/>
  <c r="AR96" i="16"/>
  <c r="AV96" i="16"/>
  <c r="AZ96" i="16"/>
  <c r="H97" i="16"/>
  <c r="L97" i="16"/>
  <c r="P97" i="16"/>
  <c r="T97" i="16"/>
  <c r="X97" i="16"/>
  <c r="AB97" i="16"/>
  <c r="AF97" i="16"/>
  <c r="AJ97" i="16"/>
  <c r="AN97" i="16"/>
  <c r="AR97" i="16"/>
  <c r="AV97" i="16"/>
  <c r="AZ97" i="16"/>
  <c r="H98" i="16"/>
  <c r="L98" i="16"/>
  <c r="P98" i="16"/>
  <c r="T98" i="16"/>
  <c r="X98" i="16"/>
  <c r="AB98" i="16"/>
  <c r="AF98" i="16"/>
  <c r="AJ98" i="16"/>
  <c r="AN98" i="16"/>
  <c r="AR98" i="16"/>
  <c r="AV98" i="16"/>
  <c r="AZ98" i="16"/>
  <c r="H99" i="16"/>
  <c r="L99" i="16"/>
  <c r="P99" i="16"/>
  <c r="X99" i="16"/>
  <c r="X139" i="16" s="1"/>
  <c r="AB99" i="16"/>
  <c r="AF99" i="16"/>
  <c r="AJ99" i="16"/>
  <c r="AN99" i="16"/>
  <c r="AR99" i="16"/>
  <c r="AV99" i="16"/>
  <c r="AZ99" i="16"/>
  <c r="H100" i="16"/>
  <c r="L100" i="16"/>
  <c r="P100" i="16"/>
  <c r="T100" i="16"/>
  <c r="X100" i="16"/>
  <c r="AB100" i="16"/>
  <c r="AF100" i="16"/>
  <c r="AJ100" i="16"/>
  <c r="AN100" i="16"/>
  <c r="AR100" i="16"/>
  <c r="AV100" i="16"/>
  <c r="AZ100" i="16"/>
  <c r="H101" i="16"/>
  <c r="L101" i="16"/>
  <c r="P101" i="16"/>
  <c r="T101" i="16"/>
  <c r="X101" i="16"/>
  <c r="AB101" i="16"/>
  <c r="AF101" i="16"/>
  <c r="AJ101" i="16"/>
  <c r="AN101" i="16"/>
  <c r="AR101" i="16"/>
  <c r="AV101" i="16"/>
  <c r="AZ101" i="16"/>
  <c r="H102" i="16"/>
  <c r="L102" i="16"/>
  <c r="P102" i="16"/>
  <c r="T102" i="16"/>
  <c r="X102" i="16"/>
  <c r="AB102" i="16"/>
  <c r="AF102" i="16"/>
  <c r="AJ102" i="16"/>
  <c r="AN102" i="16"/>
  <c r="AR102" i="16"/>
  <c r="AV102" i="16"/>
  <c r="AZ102" i="16"/>
  <c r="H103" i="16"/>
  <c r="H204" i="16" s="1"/>
  <c r="L103" i="16"/>
  <c r="L204" i="16" s="1"/>
  <c r="P103" i="16"/>
  <c r="P204" i="16" s="1"/>
  <c r="T103" i="16"/>
  <c r="T204" i="16" s="1"/>
  <c r="X103" i="16"/>
  <c r="X204" i="16" s="1"/>
  <c r="AB103" i="16"/>
  <c r="AB204" i="16" s="1"/>
  <c r="AF103" i="16"/>
  <c r="AF204" i="16" s="1"/>
  <c r="AJ103" i="16"/>
  <c r="AJ204" i="16" s="1"/>
  <c r="AN103" i="16"/>
  <c r="AN204" i="16" s="1"/>
  <c r="AR103" i="16"/>
  <c r="AR204" i="16" s="1"/>
  <c r="AV103" i="16"/>
  <c r="AV204" i="16" s="1"/>
  <c r="AZ103" i="16"/>
  <c r="AZ204" i="16" s="1"/>
  <c r="H104" i="16"/>
  <c r="O104" i="16"/>
  <c r="W104" i="16"/>
  <c r="W164" i="16" s="1"/>
  <c r="AE104" i="16"/>
  <c r="AM104" i="16"/>
  <c r="AU104" i="16"/>
  <c r="G105" i="16"/>
  <c r="O105" i="16"/>
  <c r="W105" i="16"/>
  <c r="AH106" i="16"/>
  <c r="AX107" i="16"/>
  <c r="AG96" i="16"/>
  <c r="AK96" i="16"/>
  <c r="AO96" i="16"/>
  <c r="AS96" i="16"/>
  <c r="AW96" i="16"/>
  <c r="BA96" i="16"/>
  <c r="I97" i="16"/>
  <c r="M97" i="16"/>
  <c r="Q97" i="16"/>
  <c r="U97" i="16"/>
  <c r="Y97" i="16"/>
  <c r="AC97" i="16"/>
  <c r="AG97" i="16"/>
  <c r="AK97" i="16"/>
  <c r="AO97" i="16"/>
  <c r="AS97" i="16"/>
  <c r="AW97" i="16"/>
  <c r="BA97" i="16"/>
  <c r="I98" i="16"/>
  <c r="M98" i="16"/>
  <c r="Q98" i="16"/>
  <c r="U98" i="16"/>
  <c r="Y98" i="16"/>
  <c r="AC98" i="16"/>
  <c r="AG98" i="16"/>
  <c r="AK98" i="16"/>
  <c r="AO98" i="16"/>
  <c r="AS98" i="16"/>
  <c r="AW98" i="16"/>
  <c r="BA98" i="16"/>
  <c r="I99" i="16"/>
  <c r="M99" i="16"/>
  <c r="Q99" i="16"/>
  <c r="U99" i="16"/>
  <c r="Y99" i="16"/>
  <c r="AC99" i="16"/>
  <c r="AG99" i="16"/>
  <c r="AG139" i="16" s="1"/>
  <c r="AK99" i="16"/>
  <c r="AO99" i="16"/>
  <c r="AS99" i="16"/>
  <c r="AW99" i="16"/>
  <c r="BA99" i="16"/>
  <c r="I100" i="16"/>
  <c r="M100" i="16"/>
  <c r="Q100" i="16"/>
  <c r="U100" i="16"/>
  <c r="Y100" i="16"/>
  <c r="AC100" i="16"/>
  <c r="AG100" i="16"/>
  <c r="AK100" i="16"/>
  <c r="AO100" i="16"/>
  <c r="AS100" i="16"/>
  <c r="AW100" i="16"/>
  <c r="BA100" i="16"/>
  <c r="I101" i="16"/>
  <c r="M101" i="16"/>
  <c r="Q101" i="16"/>
  <c r="U101" i="16"/>
  <c r="Y101" i="16"/>
  <c r="AC101" i="16"/>
  <c r="AG101" i="16"/>
  <c r="AK101" i="16"/>
  <c r="AO101" i="16"/>
  <c r="AS101" i="16"/>
  <c r="AW101" i="16"/>
  <c r="BA101" i="16"/>
  <c r="I102" i="16"/>
  <c r="M102" i="16"/>
  <c r="Q102" i="16"/>
  <c r="U102" i="16"/>
  <c r="Y102" i="16"/>
  <c r="AC102" i="16"/>
  <c r="AG102" i="16"/>
  <c r="AK102" i="16"/>
  <c r="AO102" i="16"/>
  <c r="AS102" i="16"/>
  <c r="AW102" i="16"/>
  <c r="BA102" i="16"/>
  <c r="I103" i="16"/>
  <c r="I204" i="16" s="1"/>
  <c r="M103" i="16"/>
  <c r="M204" i="16" s="1"/>
  <c r="Q103" i="16"/>
  <c r="Q204" i="16" s="1"/>
  <c r="U103" i="16"/>
  <c r="U204" i="16" s="1"/>
  <c r="Y103" i="16"/>
  <c r="Y204" i="16" s="1"/>
  <c r="AC103" i="16"/>
  <c r="AC204" i="16" s="1"/>
  <c r="AG103" i="16"/>
  <c r="AG204" i="16" s="1"/>
  <c r="AK103" i="16"/>
  <c r="AK204" i="16" s="1"/>
  <c r="AO103" i="16"/>
  <c r="AO204" i="16" s="1"/>
  <c r="AS103" i="16"/>
  <c r="AS204" i="16" s="1"/>
  <c r="AW103" i="16"/>
  <c r="AW204" i="16" s="1"/>
  <c r="BA103" i="16"/>
  <c r="BA204" i="16" s="1"/>
  <c r="Z104" i="16"/>
  <c r="J105" i="16"/>
  <c r="F106" i="16"/>
  <c r="AL106" i="16"/>
  <c r="V107" i="16"/>
  <c r="F108" i="16"/>
  <c r="AL108" i="16"/>
  <c r="F111" i="16"/>
  <c r="AQ104" i="16"/>
  <c r="AY104" i="16"/>
  <c r="K105" i="16"/>
  <c r="S105" i="16"/>
  <c r="AA105" i="16"/>
  <c r="J106" i="16"/>
  <c r="Z106" i="16"/>
  <c r="AP106" i="16"/>
  <c r="Z107" i="16"/>
  <c r="AP107" i="16"/>
  <c r="J108" i="16"/>
  <c r="AP108" i="16"/>
  <c r="J110" i="16"/>
  <c r="J111" i="16"/>
  <c r="J112" i="16"/>
  <c r="AE105" i="16"/>
  <c r="AI105" i="16"/>
  <c r="AM105" i="16"/>
  <c r="AQ105" i="16"/>
  <c r="AU105" i="16"/>
  <c r="AY105" i="16"/>
  <c r="G106" i="16"/>
  <c r="K106" i="16"/>
  <c r="S106" i="16"/>
  <c r="W106" i="16"/>
  <c r="AA106" i="16"/>
  <c r="AE106" i="16"/>
  <c r="AI106" i="16"/>
  <c r="AM106" i="16"/>
  <c r="AQ106" i="16"/>
  <c r="AU106" i="16"/>
  <c r="AY106" i="16"/>
  <c r="G107" i="16"/>
  <c r="K107" i="16"/>
  <c r="O107" i="16"/>
  <c r="S107" i="16"/>
  <c r="W107" i="16"/>
  <c r="AA107" i="16"/>
  <c r="AE107" i="16"/>
  <c r="AI107" i="16"/>
  <c r="AM107" i="16"/>
  <c r="AQ107" i="16"/>
  <c r="AU107" i="16"/>
  <c r="AY107" i="16"/>
  <c r="G108" i="16"/>
  <c r="K108" i="16"/>
  <c r="O108" i="16"/>
  <c r="S108" i="16"/>
  <c r="W108" i="16"/>
  <c r="AA108" i="16"/>
  <c r="AE108" i="16"/>
  <c r="AI108" i="16"/>
  <c r="AQ108" i="16"/>
  <c r="AU108" i="16"/>
  <c r="AY108" i="16"/>
  <c r="G110" i="16"/>
  <c r="K110" i="16"/>
  <c r="O110" i="16"/>
  <c r="G111" i="16"/>
  <c r="K111" i="16"/>
  <c r="O111" i="16"/>
  <c r="G112" i="16"/>
  <c r="K112" i="16"/>
  <c r="O112" i="16"/>
  <c r="L104" i="16"/>
  <c r="P104" i="16"/>
  <c r="T104" i="16"/>
  <c r="X104" i="16"/>
  <c r="AB104" i="16"/>
  <c r="AF104" i="16"/>
  <c r="AJ104" i="16"/>
  <c r="AN104" i="16"/>
  <c r="AR104" i="16"/>
  <c r="AV104" i="16"/>
  <c r="AZ104" i="16"/>
  <c r="H105" i="16"/>
  <c r="L105" i="16"/>
  <c r="P105" i="16"/>
  <c r="T105" i="16"/>
  <c r="X105" i="16"/>
  <c r="AB105" i="16"/>
  <c r="AF105" i="16"/>
  <c r="AJ105" i="16"/>
  <c r="AN105" i="16"/>
  <c r="AR105" i="16"/>
  <c r="AV105" i="16"/>
  <c r="AZ105" i="16"/>
  <c r="H106" i="16"/>
  <c r="L106" i="16"/>
  <c r="P106" i="16"/>
  <c r="T106" i="16"/>
  <c r="X106" i="16"/>
  <c r="AB106" i="16"/>
  <c r="AF106" i="16"/>
  <c r="AF143" i="16" s="1"/>
  <c r="AJ106" i="16"/>
  <c r="AN106" i="16"/>
  <c r="AR106" i="16"/>
  <c r="AV106" i="16"/>
  <c r="AZ106" i="16"/>
  <c r="H107" i="16"/>
  <c r="L107" i="16"/>
  <c r="P107" i="16"/>
  <c r="X107" i="16"/>
  <c r="AB107" i="16"/>
  <c r="AF107" i="16"/>
  <c r="AJ107" i="16"/>
  <c r="AN107" i="16"/>
  <c r="AR107" i="16"/>
  <c r="AV107" i="16"/>
  <c r="AZ107" i="16"/>
  <c r="H108" i="16"/>
  <c r="L108" i="16"/>
  <c r="P108" i="16"/>
  <c r="T108" i="16"/>
  <c r="X108" i="16"/>
  <c r="AB108" i="16"/>
  <c r="AF108" i="16"/>
  <c r="AJ108" i="16"/>
  <c r="AN108" i="16"/>
  <c r="AV108" i="16"/>
  <c r="AZ108" i="16"/>
  <c r="H110" i="16"/>
  <c r="L110" i="16"/>
  <c r="P110" i="16"/>
  <c r="H111" i="16"/>
  <c r="L111" i="16"/>
  <c r="P111" i="16"/>
  <c r="H112" i="16"/>
  <c r="L112" i="16"/>
  <c r="P112" i="16"/>
  <c r="I104" i="16"/>
  <c r="M104" i="16"/>
  <c r="Q104" i="16"/>
  <c r="U104" i="16"/>
  <c r="Y104" i="16"/>
  <c r="AC104" i="16"/>
  <c r="AG104" i="16"/>
  <c r="AG164" i="16" s="1"/>
  <c r="AK104" i="16"/>
  <c r="AO104" i="16"/>
  <c r="AS104" i="16"/>
  <c r="AW104" i="16"/>
  <c r="BA104" i="16"/>
  <c r="I105" i="16"/>
  <c r="M105" i="16"/>
  <c r="Q105" i="16"/>
  <c r="U105" i="16"/>
  <c r="Y105" i="16"/>
  <c r="AC105" i="16"/>
  <c r="AG105" i="16"/>
  <c r="AK105" i="16"/>
  <c r="AO105" i="16"/>
  <c r="AS105" i="16"/>
  <c r="AW105" i="16"/>
  <c r="BA105" i="16"/>
  <c r="I106" i="16"/>
  <c r="M106" i="16"/>
  <c r="Q106" i="16"/>
  <c r="U106" i="16"/>
  <c r="Y106" i="16"/>
  <c r="AC106" i="16"/>
  <c r="AG106" i="16"/>
  <c r="AK106" i="16"/>
  <c r="AO106" i="16"/>
  <c r="AS106" i="16"/>
  <c r="AW106" i="16"/>
  <c r="BA106" i="16"/>
  <c r="I107" i="16"/>
  <c r="M107" i="16"/>
  <c r="Q107" i="16"/>
  <c r="U107" i="16"/>
  <c r="Y107" i="16"/>
  <c r="AC107" i="16"/>
  <c r="AG107" i="16"/>
  <c r="AK107" i="16"/>
  <c r="AO107" i="16"/>
  <c r="AS107" i="16"/>
  <c r="AW107" i="16"/>
  <c r="BA107" i="16"/>
  <c r="I108" i="16"/>
  <c r="M108" i="16"/>
  <c r="Q108" i="16"/>
  <c r="U108" i="16"/>
  <c r="Y108" i="16"/>
  <c r="AC108" i="16"/>
  <c r="AG108" i="16"/>
  <c r="AK108" i="16"/>
  <c r="AO108" i="16"/>
  <c r="AS108" i="16"/>
  <c r="AW108" i="16"/>
  <c r="BA108" i="16"/>
  <c r="I110" i="16"/>
  <c r="M110" i="16"/>
  <c r="Q110" i="16"/>
  <c r="I111" i="16"/>
  <c r="M111" i="16"/>
  <c r="Q111" i="16"/>
  <c r="I112" i="16"/>
  <c r="M112" i="16"/>
  <c r="Q112" i="16"/>
  <c r="BA220" i="16"/>
  <c r="BA227" i="16"/>
  <c r="BA246" i="16"/>
  <c r="BA219" i="16"/>
  <c r="BA228" i="16"/>
  <c r="BA223" i="16"/>
  <c r="BA10" i="16"/>
  <c r="BA149" i="16"/>
  <c r="T153" i="16"/>
  <c r="U269" i="16"/>
  <c r="T230" i="16"/>
  <c r="T152" i="16"/>
  <c r="T154" i="16"/>
  <c r="T10" i="16"/>
  <c r="M274" i="16"/>
  <c r="L274" i="16"/>
  <c r="BA224" i="16"/>
  <c r="AJ148" i="16"/>
  <c r="K284" i="16"/>
  <c r="J221" i="16"/>
  <c r="H289" i="16"/>
  <c r="G239" i="16"/>
  <c r="V187" i="16"/>
  <c r="W288" i="16"/>
  <c r="V188" i="16"/>
  <c r="Y289" i="16"/>
  <c r="X167" i="16"/>
  <c r="X239" i="16"/>
  <c r="X189" i="16"/>
  <c r="N290" i="16"/>
  <c r="M222" i="16"/>
  <c r="AU286" i="16"/>
  <c r="AT186" i="16"/>
  <c r="AG167" i="16"/>
  <c r="AG189" i="16"/>
  <c r="AH289" i="16"/>
  <c r="AG239" i="16"/>
  <c r="AC91" i="16"/>
  <c r="AC191" i="16" s="1"/>
  <c r="AC158" i="16"/>
  <c r="G221" i="16"/>
  <c r="H284" i="16"/>
  <c r="W139" i="16"/>
  <c r="W237" i="16"/>
  <c r="X278" i="16"/>
  <c r="X237" i="16"/>
  <c r="AL199" i="16"/>
  <c r="AC174" i="16"/>
  <c r="G243" i="16"/>
  <c r="H138" i="16"/>
  <c r="AQ165" i="16"/>
  <c r="AQ198" i="16"/>
  <c r="AQ156" i="16"/>
  <c r="AR275" i="16"/>
  <c r="AI35" i="16"/>
  <c r="AI171" i="16"/>
  <c r="AI211" i="16"/>
  <c r="U156" i="16"/>
  <c r="U163" i="16"/>
  <c r="U164" i="16"/>
  <c r="AE211" i="16"/>
  <c r="AE171" i="16"/>
  <c r="AE35" i="16"/>
  <c r="P169" i="16"/>
  <c r="P166" i="16"/>
  <c r="P167" i="16"/>
  <c r="P168" i="16"/>
  <c r="Q258" i="16"/>
  <c r="P238" i="16"/>
  <c r="P208" i="16"/>
  <c r="P239" i="16"/>
  <c r="P21" i="16"/>
  <c r="H216" i="16"/>
  <c r="H232" i="16"/>
  <c r="H33" i="16"/>
  <c r="I271" i="16"/>
  <c r="G269" i="16"/>
  <c r="AC273" i="16"/>
  <c r="AI230" i="16"/>
  <c r="AI153" i="16"/>
  <c r="AI152" i="16"/>
  <c r="AJ269" i="16"/>
  <c r="AI154" i="16"/>
  <c r="AI10" i="16"/>
  <c r="J230" i="16"/>
  <c r="U175" i="16"/>
  <c r="U200" i="16"/>
  <c r="W158" i="16"/>
  <c r="W156" i="16"/>
  <c r="W161" i="16"/>
  <c r="W234" i="16"/>
  <c r="W198" i="16"/>
  <c r="W220" i="16"/>
  <c r="W159" i="16"/>
  <c r="W157" i="16"/>
  <c r="W233" i="16"/>
  <c r="W219" i="16"/>
  <c r="X272" i="16"/>
  <c r="AF268" i="16"/>
  <c r="AE148" i="16"/>
  <c r="H231" i="16"/>
  <c r="S188" i="16"/>
  <c r="T288" i="16"/>
  <c r="S221" i="16"/>
  <c r="S187" i="16"/>
  <c r="AX202" i="16"/>
  <c r="AX240" i="16"/>
  <c r="AX178" i="16"/>
  <c r="AX177" i="16"/>
  <c r="AK35" i="16"/>
  <c r="AK175" i="16"/>
  <c r="AD166" i="16"/>
  <c r="AG237" i="16"/>
  <c r="AH278" i="16"/>
  <c r="AH237" i="16"/>
  <c r="AH139" i="16"/>
  <c r="AR172" i="16"/>
  <c r="AR35" i="16"/>
  <c r="AR199" i="16"/>
  <c r="T151" i="16"/>
  <c r="T148" i="16"/>
  <c r="L68" i="16"/>
  <c r="AS224" i="16"/>
  <c r="AV273" i="16"/>
  <c r="AU230" i="16"/>
  <c r="AV269" i="16"/>
  <c r="AU154" i="16"/>
  <c r="AU10" i="16"/>
  <c r="AN153" i="16"/>
  <c r="AN230" i="16"/>
  <c r="N289" i="16"/>
  <c r="M239" i="16"/>
  <c r="N193" i="16"/>
  <c r="AA169" i="16"/>
  <c r="AM203" i="16"/>
  <c r="AM169" i="16"/>
  <c r="AM142" i="16"/>
  <c r="F203" i="16"/>
  <c r="P141" i="16"/>
  <c r="P140" i="16"/>
  <c r="AA188" i="16"/>
  <c r="AB288" i="16"/>
  <c r="AU238" i="16"/>
  <c r="AU91" i="16"/>
  <c r="AU191" i="16" s="1"/>
  <c r="O183" i="16"/>
  <c r="P283" i="16"/>
  <c r="T185" i="16"/>
  <c r="T222" i="16"/>
  <c r="AZ155" i="16"/>
  <c r="AZ185" i="16"/>
  <c r="AA239" i="16"/>
  <c r="AA167" i="16"/>
  <c r="AB289" i="16"/>
  <c r="U187" i="16"/>
  <c r="V140" i="16"/>
  <c r="Y141" i="16"/>
  <c r="Y203" i="16"/>
  <c r="AD48" i="16"/>
  <c r="AN172" i="16"/>
  <c r="W163" i="16"/>
  <c r="T200" i="16"/>
  <c r="L226" i="12"/>
  <c r="L197" i="12"/>
  <c r="L218" i="12"/>
  <c r="L229" i="12"/>
  <c r="L245" i="12"/>
  <c r="L216" i="12"/>
  <c r="AB149" i="12"/>
  <c r="AB224" i="12"/>
  <c r="AB150" i="12"/>
  <c r="AC267" i="12"/>
  <c r="AB219" i="12"/>
  <c r="AB228" i="12"/>
  <c r="AB220" i="12"/>
  <c r="AB223" i="12"/>
  <c r="AB227" i="12"/>
  <c r="AB246" i="12"/>
  <c r="AR151" i="12"/>
  <c r="L230" i="12"/>
  <c r="AC270" i="12"/>
  <c r="AR207" i="12"/>
  <c r="L233" i="12"/>
  <c r="L198" i="12"/>
  <c r="L234" i="12"/>
  <c r="AC273" i="12"/>
  <c r="AR163" i="12"/>
  <c r="AS274" i="12"/>
  <c r="AR164" i="12"/>
  <c r="L205" i="12"/>
  <c r="L239" i="12"/>
  <c r="L238" i="12"/>
  <c r="L208" i="12"/>
  <c r="AB170" i="12"/>
  <c r="AB226" i="12"/>
  <c r="AB216" i="12"/>
  <c r="AB245" i="12"/>
  <c r="AB125" i="12"/>
  <c r="AB123" i="12"/>
  <c r="AC266" i="12"/>
  <c r="AB229" i="12"/>
  <c r="AB126" i="12"/>
  <c r="AB218" i="12"/>
  <c r="AB124" i="12"/>
  <c r="AB242" i="12"/>
  <c r="AB137" i="12"/>
  <c r="AB59" i="17" s="1"/>
  <c r="AB197" i="12"/>
  <c r="AB128" i="12"/>
  <c r="AB127" i="12"/>
  <c r="AR228" i="12"/>
  <c r="AS267" i="12"/>
  <c r="AR219" i="12"/>
  <c r="AR150" i="12"/>
  <c r="AR227" i="12"/>
  <c r="AR149" i="12"/>
  <c r="AR246" i="12"/>
  <c r="AR224" i="12"/>
  <c r="AR223" i="12"/>
  <c r="AR220" i="12"/>
  <c r="AR148" i="12"/>
  <c r="AS268" i="12"/>
  <c r="AC269" i="12"/>
  <c r="AB155" i="12"/>
  <c r="AB154" i="12"/>
  <c r="AB152" i="12"/>
  <c r="AB153" i="12"/>
  <c r="AB230" i="12"/>
  <c r="AS270" i="12"/>
  <c r="L231" i="12"/>
  <c r="L232" i="12"/>
  <c r="AC272" i="12"/>
  <c r="AB157" i="12"/>
  <c r="AB233" i="12"/>
  <c r="AB161" i="12"/>
  <c r="AB158" i="12"/>
  <c r="AB198" i="12"/>
  <c r="AB234" i="12"/>
  <c r="AB162" i="12"/>
  <c r="AB159" i="12"/>
  <c r="AB156" i="12"/>
  <c r="AB160" i="12"/>
  <c r="AS273" i="12"/>
  <c r="AB205" i="12"/>
  <c r="AC275" i="12"/>
  <c r="AB165" i="12"/>
  <c r="AB208" i="12"/>
  <c r="AB167" i="12"/>
  <c r="AB239" i="12"/>
  <c r="AB166" i="12"/>
  <c r="AC276" i="12"/>
  <c r="AB169" i="12"/>
  <c r="AB168" i="12"/>
  <c r="AB238" i="12"/>
  <c r="AR137" i="12"/>
  <c r="AR124" i="12"/>
  <c r="AR197" i="12"/>
  <c r="AR123" i="12"/>
  <c r="AR229" i="12"/>
  <c r="AS266" i="12"/>
  <c r="AR126" i="12"/>
  <c r="AR125" i="12"/>
  <c r="AR242" i="12"/>
  <c r="AR245" i="12"/>
  <c r="AR226" i="12"/>
  <c r="AR216" i="12"/>
  <c r="AR218" i="12"/>
  <c r="AR127" i="12"/>
  <c r="AR128" i="12"/>
  <c r="L147" i="12"/>
  <c r="AR230" i="12"/>
  <c r="AR155" i="12"/>
  <c r="AR153" i="12"/>
  <c r="AR154" i="12"/>
  <c r="AS269" i="12"/>
  <c r="AR152" i="12"/>
  <c r="L207" i="12"/>
  <c r="AB232" i="12"/>
  <c r="AC271" i="12"/>
  <c r="AB231" i="12"/>
  <c r="AS272" i="12"/>
  <c r="AR157" i="12"/>
  <c r="AR198" i="12"/>
  <c r="AR159" i="12"/>
  <c r="AR156" i="12"/>
  <c r="AR233" i="12"/>
  <c r="AR234" i="12"/>
  <c r="AR160" i="12"/>
  <c r="AR162" i="12"/>
  <c r="AR158" i="12"/>
  <c r="AR161" i="12"/>
  <c r="AS275" i="12"/>
  <c r="AR205" i="12"/>
  <c r="AR165" i="12"/>
  <c r="AS276" i="12"/>
  <c r="AR167" i="12"/>
  <c r="AR239" i="12"/>
  <c r="AR208" i="12"/>
  <c r="AR169" i="12"/>
  <c r="AR238" i="12"/>
  <c r="AR166" i="12"/>
  <c r="AR168" i="12"/>
  <c r="L220" i="12"/>
  <c r="L227" i="12"/>
  <c r="L219" i="12"/>
  <c r="L246" i="12"/>
  <c r="L228" i="12"/>
  <c r="AB151" i="12"/>
  <c r="AB207" i="12"/>
  <c r="AR231" i="12"/>
  <c r="AS271" i="12"/>
  <c r="AR232" i="12"/>
  <c r="AC274" i="12"/>
  <c r="AB164" i="12"/>
  <c r="AB163" i="12"/>
  <c r="P197" i="12"/>
  <c r="P245" i="12"/>
  <c r="P226" i="12"/>
  <c r="P125" i="12"/>
  <c r="P216" i="12"/>
  <c r="Q266" i="12"/>
  <c r="P218" i="12"/>
  <c r="P126" i="12"/>
  <c r="P242" i="12"/>
  <c r="P229" i="12"/>
  <c r="AF124" i="12"/>
  <c r="AF218" i="12"/>
  <c r="AF245" i="12"/>
  <c r="AF242" i="12"/>
  <c r="AF197" i="12"/>
  <c r="AF226" i="12"/>
  <c r="AF216" i="12"/>
  <c r="AF123" i="12"/>
  <c r="AF127" i="12"/>
  <c r="AF126" i="12"/>
  <c r="AF229" i="12"/>
  <c r="AG266" i="12"/>
  <c r="AF137" i="12"/>
  <c r="AF59" i="17" s="1"/>
  <c r="AF125" i="12"/>
  <c r="AF128" i="12"/>
  <c r="AV124" i="12"/>
  <c r="AV125" i="12"/>
  <c r="AV128" i="12"/>
  <c r="AV226" i="12"/>
  <c r="AV216" i="12"/>
  <c r="AW266" i="12"/>
  <c r="AV137" i="12"/>
  <c r="AV229" i="12"/>
  <c r="AV126" i="12"/>
  <c r="AV242" i="12"/>
  <c r="AV218" i="12"/>
  <c r="AV123" i="12"/>
  <c r="AV127" i="12"/>
  <c r="AV245" i="12"/>
  <c r="AV197" i="12"/>
  <c r="P224" i="12"/>
  <c r="P227" i="12"/>
  <c r="P228" i="12"/>
  <c r="P150" i="12"/>
  <c r="Q267" i="12"/>
  <c r="P149" i="12"/>
  <c r="P246" i="12"/>
  <c r="P219" i="12"/>
  <c r="P220" i="12"/>
  <c r="AF219" i="12"/>
  <c r="AF223" i="12"/>
  <c r="AF224" i="12"/>
  <c r="AF150" i="12"/>
  <c r="AF227" i="12"/>
  <c r="AF220" i="12"/>
  <c r="AF149" i="12"/>
  <c r="AG267" i="12"/>
  <c r="AF246" i="12"/>
  <c r="AF228" i="12"/>
  <c r="AF148" i="12"/>
  <c r="AV149" i="12"/>
  <c r="AV246" i="12"/>
  <c r="AV224" i="12"/>
  <c r="AV219" i="12"/>
  <c r="AV220" i="12"/>
  <c r="AV227" i="12"/>
  <c r="AV228" i="12"/>
  <c r="AV148" i="12"/>
  <c r="AW267" i="12"/>
  <c r="AV223" i="12"/>
  <c r="AV150" i="12"/>
  <c r="P147" i="12"/>
  <c r="Q268" i="12"/>
  <c r="AG268" i="12"/>
  <c r="AW268" i="12"/>
  <c r="P151" i="12"/>
  <c r="AF151" i="12"/>
  <c r="AV151" i="12"/>
  <c r="P155" i="12"/>
  <c r="Q269" i="12"/>
  <c r="P230" i="12"/>
  <c r="P152" i="12"/>
  <c r="P154" i="12"/>
  <c r="P153" i="12"/>
  <c r="AF153" i="12"/>
  <c r="AF152" i="12"/>
  <c r="AF230" i="12"/>
  <c r="AF155" i="12"/>
  <c r="AG269" i="12"/>
  <c r="AF154" i="12"/>
  <c r="AV153" i="12"/>
  <c r="AW269" i="12"/>
  <c r="AV230" i="12"/>
  <c r="AV155" i="12"/>
  <c r="Q270" i="12"/>
  <c r="AG270" i="12"/>
  <c r="AW270" i="12"/>
  <c r="P207" i="12"/>
  <c r="AF207" i="12"/>
  <c r="P231" i="12"/>
  <c r="AG271" i="12"/>
  <c r="AF231" i="12"/>
  <c r="AF232" i="12"/>
  <c r="AV232" i="12"/>
  <c r="AW271" i="12"/>
  <c r="AV231" i="12"/>
  <c r="P198" i="12"/>
  <c r="P158" i="12"/>
  <c r="P233" i="12"/>
  <c r="P161" i="12"/>
  <c r="P160" i="12"/>
  <c r="P234" i="12"/>
  <c r="P159" i="12"/>
  <c r="P156" i="12"/>
  <c r="Q272" i="12"/>
  <c r="P162" i="12"/>
  <c r="P157" i="12"/>
  <c r="AG272" i="12"/>
  <c r="AF198" i="12"/>
  <c r="AF162" i="12"/>
  <c r="AF234" i="12"/>
  <c r="AF158" i="12"/>
  <c r="AF156" i="12"/>
  <c r="AF160" i="12"/>
  <c r="AF157" i="12"/>
  <c r="AF233" i="12"/>
  <c r="AF161" i="12"/>
  <c r="AF159" i="12"/>
  <c r="AV159" i="12"/>
  <c r="AV234" i="12"/>
  <c r="AV198" i="12"/>
  <c r="AV160" i="12"/>
  <c r="AV156" i="12"/>
  <c r="AV158" i="12"/>
  <c r="AW272" i="12"/>
  <c r="AV162" i="12"/>
  <c r="AV161" i="12"/>
  <c r="AV233" i="12"/>
  <c r="AV157" i="12"/>
  <c r="Q273" i="12"/>
  <c r="AG273" i="12"/>
  <c r="AW273" i="12"/>
  <c r="P163" i="12"/>
  <c r="Q274" i="12"/>
  <c r="P164" i="12"/>
  <c r="AF163" i="12"/>
  <c r="AF164" i="12"/>
  <c r="AG274" i="12"/>
  <c r="AW274" i="12"/>
  <c r="AV164" i="12"/>
  <c r="AV163" i="12"/>
  <c r="P205" i="12"/>
  <c r="Q275" i="12"/>
  <c r="P165" i="12"/>
  <c r="AF165" i="12"/>
  <c r="AG275" i="12"/>
  <c r="AF205" i="12"/>
  <c r="AV205" i="12"/>
  <c r="AV165" i="12"/>
  <c r="AW275" i="12"/>
  <c r="P208" i="12"/>
  <c r="P166" i="12"/>
  <c r="P167" i="12"/>
  <c r="P168" i="12"/>
  <c r="P238" i="12"/>
  <c r="P239" i="12"/>
  <c r="P169" i="12"/>
  <c r="Q276" i="12"/>
  <c r="AF167" i="12"/>
  <c r="AF208" i="12"/>
  <c r="AF168" i="12"/>
  <c r="AG276" i="12"/>
  <c r="AF166" i="12"/>
  <c r="AF239" i="12"/>
  <c r="AF238" i="12"/>
  <c r="AF169" i="12"/>
  <c r="AV238" i="12"/>
  <c r="AV168" i="12"/>
  <c r="AV167" i="12"/>
  <c r="AV208" i="12"/>
  <c r="AV239" i="12"/>
  <c r="AV169" i="12"/>
  <c r="AW276" i="12"/>
  <c r="AV166" i="12"/>
  <c r="P170" i="12"/>
  <c r="T124" i="12"/>
  <c r="T126" i="12"/>
  <c r="T242" i="12"/>
  <c r="T197" i="12"/>
  <c r="T216" i="12"/>
  <c r="T229" i="12"/>
  <c r="T123" i="12"/>
  <c r="T125" i="12"/>
  <c r="T226" i="12"/>
  <c r="T245" i="12"/>
  <c r="T218" i="12"/>
  <c r="U266" i="12"/>
  <c r="T137" i="12"/>
  <c r="T59" i="17" s="1"/>
  <c r="AJ197" i="12"/>
  <c r="AJ218" i="12"/>
  <c r="AJ126" i="12"/>
  <c r="AJ125" i="12"/>
  <c r="AJ216" i="12"/>
  <c r="AJ137" i="12"/>
  <c r="AJ59" i="17" s="1"/>
  <c r="AJ226" i="12"/>
  <c r="AJ242" i="12"/>
  <c r="AK266" i="12"/>
  <c r="AJ123" i="12"/>
  <c r="AJ229" i="12"/>
  <c r="AJ245" i="12"/>
  <c r="AJ124" i="12"/>
  <c r="AJ128" i="12"/>
  <c r="AJ127" i="12"/>
  <c r="AZ125" i="12"/>
  <c r="AZ226" i="12"/>
  <c r="AZ242" i="12"/>
  <c r="AZ124" i="12"/>
  <c r="AZ245" i="12"/>
  <c r="AZ218" i="12"/>
  <c r="AZ126" i="12"/>
  <c r="BA266" i="12"/>
  <c r="AZ197" i="12"/>
  <c r="AZ123" i="12"/>
  <c r="AZ127" i="12"/>
  <c r="AZ216" i="12"/>
  <c r="AZ137" i="12"/>
  <c r="AZ229" i="12"/>
  <c r="AZ128" i="12"/>
  <c r="T223" i="12"/>
  <c r="T246" i="12"/>
  <c r="T227" i="12"/>
  <c r="T219" i="12"/>
  <c r="T220" i="12"/>
  <c r="T224" i="12"/>
  <c r="T150" i="12"/>
  <c r="T148" i="12"/>
  <c r="U267" i="12"/>
  <c r="T228" i="12"/>
  <c r="T149" i="12"/>
  <c r="AK267" i="12"/>
  <c r="AJ227" i="12"/>
  <c r="AJ219" i="12"/>
  <c r="AJ150" i="12"/>
  <c r="AJ148" i="12"/>
  <c r="AJ220" i="12"/>
  <c r="AJ246" i="12"/>
  <c r="AJ223" i="12"/>
  <c r="AJ228" i="12"/>
  <c r="AJ224" i="12"/>
  <c r="AJ149" i="12"/>
  <c r="AZ219" i="12"/>
  <c r="AZ148" i="12"/>
  <c r="BA267" i="12"/>
  <c r="AZ223" i="12"/>
  <c r="AZ246" i="12"/>
  <c r="AZ228" i="12"/>
  <c r="AZ227" i="12"/>
  <c r="AZ224" i="12"/>
  <c r="AZ149" i="12"/>
  <c r="AZ150" i="12"/>
  <c r="AZ220" i="12"/>
  <c r="U268" i="12"/>
  <c r="AK268" i="12"/>
  <c r="BA268" i="12"/>
  <c r="T151" i="12"/>
  <c r="AJ151" i="12"/>
  <c r="AZ151" i="12"/>
  <c r="T230" i="12"/>
  <c r="T153" i="12"/>
  <c r="T155" i="12"/>
  <c r="T152" i="12"/>
  <c r="T154" i="12"/>
  <c r="U269" i="12"/>
  <c r="AJ155" i="12"/>
  <c r="AK269" i="12"/>
  <c r="AJ230" i="12"/>
  <c r="AJ152" i="12"/>
  <c r="AJ154" i="12"/>
  <c r="AJ153" i="12"/>
  <c r="BA269" i="12"/>
  <c r="AZ155" i="12"/>
  <c r="AZ152" i="12"/>
  <c r="AZ154" i="12"/>
  <c r="AZ230" i="12"/>
  <c r="AZ153" i="12"/>
  <c r="U270" i="12"/>
  <c r="AK270" i="12"/>
  <c r="BA270" i="12"/>
  <c r="T207" i="12"/>
  <c r="AJ207" i="12"/>
  <c r="AZ207" i="12"/>
  <c r="T231" i="12"/>
  <c r="T232" i="12"/>
  <c r="AJ232" i="12"/>
  <c r="AK271" i="12"/>
  <c r="AJ231" i="12"/>
  <c r="AZ232" i="12"/>
  <c r="BA271" i="12"/>
  <c r="AZ231" i="12"/>
  <c r="T159" i="12"/>
  <c r="T161" i="12"/>
  <c r="T157" i="12"/>
  <c r="T198" i="12"/>
  <c r="T233" i="12"/>
  <c r="T234" i="12"/>
  <c r="U272" i="12"/>
  <c r="T160" i="12"/>
  <c r="T158" i="12"/>
  <c r="T156" i="12"/>
  <c r="T162" i="12"/>
  <c r="AJ234" i="12"/>
  <c r="AJ158" i="12"/>
  <c r="AJ160" i="12"/>
  <c r="AJ233" i="12"/>
  <c r="AJ159" i="12"/>
  <c r="AJ162" i="12"/>
  <c r="AJ198" i="12"/>
  <c r="AJ157" i="12"/>
  <c r="AJ161" i="12"/>
  <c r="AK272" i="12"/>
  <c r="AJ156" i="12"/>
  <c r="AZ158" i="12"/>
  <c r="AZ234" i="12"/>
  <c r="AZ198" i="12"/>
  <c r="AZ233" i="12"/>
  <c r="AZ160" i="12"/>
  <c r="AZ161" i="12"/>
  <c r="BA272" i="12"/>
  <c r="AZ157" i="12"/>
  <c r="AZ162" i="12"/>
  <c r="AZ159" i="12"/>
  <c r="U273" i="12"/>
  <c r="AK273" i="12"/>
  <c r="BA273" i="12"/>
  <c r="T163" i="12"/>
  <c r="U274" i="12"/>
  <c r="T164" i="12"/>
  <c r="AK274" i="12"/>
  <c r="AJ163" i="12"/>
  <c r="AJ164" i="12"/>
  <c r="BA274" i="12"/>
  <c r="AZ164" i="12"/>
  <c r="AZ163" i="12"/>
  <c r="U275" i="12"/>
  <c r="T205" i="12"/>
  <c r="T165" i="12"/>
  <c r="AJ205" i="12"/>
  <c r="AJ165" i="12"/>
  <c r="AK275" i="12"/>
  <c r="AZ165" i="12"/>
  <c r="AZ205" i="12"/>
  <c r="BA275" i="12"/>
  <c r="T167" i="12"/>
  <c r="T239" i="12"/>
  <c r="T238" i="12"/>
  <c r="T208" i="12"/>
  <c r="T169" i="12"/>
  <c r="T168" i="12"/>
  <c r="T166" i="12"/>
  <c r="U276" i="12"/>
  <c r="AJ238" i="12"/>
  <c r="AJ167" i="12"/>
  <c r="AJ208" i="12"/>
  <c r="AK276" i="12"/>
  <c r="AJ169" i="12"/>
  <c r="AJ166" i="12"/>
  <c r="AJ168" i="12"/>
  <c r="AJ239" i="12"/>
  <c r="AZ238" i="12"/>
  <c r="AZ239" i="12"/>
  <c r="AZ166" i="12"/>
  <c r="AZ208" i="12"/>
  <c r="BA276" i="12"/>
  <c r="AZ167" i="12"/>
  <c r="AZ169" i="12"/>
  <c r="AZ168" i="12"/>
  <c r="T170" i="12"/>
  <c r="H245" i="12"/>
  <c r="H197" i="12"/>
  <c r="H226" i="12"/>
  <c r="I266" i="12"/>
  <c r="H242" i="12"/>
  <c r="H218" i="12"/>
  <c r="H216" i="12"/>
  <c r="H229" i="12"/>
  <c r="X123" i="12"/>
  <c r="X125" i="12"/>
  <c r="Y266" i="12"/>
  <c r="X226" i="12"/>
  <c r="X242" i="12"/>
  <c r="X126" i="12"/>
  <c r="X229" i="12"/>
  <c r="X124" i="12"/>
  <c r="X197" i="12"/>
  <c r="X245" i="12"/>
  <c r="AO266" i="12"/>
  <c r="AN229" i="12"/>
  <c r="AN242" i="12"/>
  <c r="AN127" i="12"/>
  <c r="H228" i="12"/>
  <c r="I267" i="12"/>
  <c r="H246" i="12"/>
  <c r="H219" i="12"/>
  <c r="H220" i="12"/>
  <c r="H227" i="12"/>
  <c r="X148" i="12"/>
  <c r="X246" i="12"/>
  <c r="X223" i="12"/>
  <c r="X224" i="12"/>
  <c r="X149" i="12"/>
  <c r="X150" i="12"/>
  <c r="X227" i="12"/>
  <c r="Y267" i="12"/>
  <c r="X219" i="12"/>
  <c r="X228" i="12"/>
  <c r="X220" i="12"/>
  <c r="AN150" i="12"/>
  <c r="AN148" i="12"/>
  <c r="AN220" i="12"/>
  <c r="AN223" i="12"/>
  <c r="AN149" i="12"/>
  <c r="AN227" i="12"/>
  <c r="AN246" i="12"/>
  <c r="AN228" i="12"/>
  <c r="AN219" i="12"/>
  <c r="AN224" i="12"/>
  <c r="AO267" i="12"/>
  <c r="H147" i="12"/>
  <c r="I268" i="12"/>
  <c r="Y268" i="12"/>
  <c r="AO268" i="12"/>
  <c r="AN151" i="12"/>
  <c r="H230" i="12"/>
  <c r="I269" i="12"/>
  <c r="Y269" i="12"/>
  <c r="X230" i="12"/>
  <c r="X153" i="12"/>
  <c r="X152" i="12"/>
  <c r="X154" i="12"/>
  <c r="X155" i="12"/>
  <c r="AN155" i="12"/>
  <c r="AN154" i="12"/>
  <c r="I270" i="12"/>
  <c r="Y270" i="12"/>
  <c r="AO270" i="12"/>
  <c r="H207" i="12"/>
  <c r="X207" i="12"/>
  <c r="AN207" i="12"/>
  <c r="I271" i="12"/>
  <c r="H231" i="12"/>
  <c r="H232" i="12"/>
  <c r="AO271" i="12"/>
  <c r="AN231" i="12"/>
  <c r="AN232" i="12"/>
  <c r="H234" i="12"/>
  <c r="I272" i="12"/>
  <c r="H233" i="12"/>
  <c r="H198" i="12"/>
  <c r="X158" i="12"/>
  <c r="X234" i="12"/>
  <c r="X159" i="12"/>
  <c r="X161" i="12"/>
  <c r="X198" i="12"/>
  <c r="X233" i="12"/>
  <c r="X162" i="12"/>
  <c r="X160" i="12"/>
  <c r="X157" i="12"/>
  <c r="Y272" i="12"/>
  <c r="X156" i="12"/>
  <c r="AN160" i="12"/>
  <c r="AN234" i="12"/>
  <c r="AN198" i="12"/>
  <c r="AN162" i="12"/>
  <c r="AN157" i="12"/>
  <c r="AN156" i="12"/>
  <c r="AO272" i="12"/>
  <c r="AN161" i="12"/>
  <c r="AN158" i="12"/>
  <c r="AN159" i="12"/>
  <c r="AN233" i="12"/>
  <c r="I273" i="12"/>
  <c r="Y273" i="12"/>
  <c r="AO273" i="12"/>
  <c r="I274" i="12"/>
  <c r="Y274" i="12"/>
  <c r="X163" i="12"/>
  <c r="X164" i="12"/>
  <c r="AN163" i="12"/>
  <c r="AO274" i="12"/>
  <c r="AN164" i="12"/>
  <c r="I275" i="12"/>
  <c r="H205" i="12"/>
  <c r="X205" i="12"/>
  <c r="X165" i="12"/>
  <c r="Y275" i="12"/>
  <c r="AO275" i="12"/>
  <c r="AN165" i="12"/>
  <c r="AN205" i="12"/>
  <c r="H208" i="12"/>
  <c r="I276" i="12"/>
  <c r="H238" i="12"/>
  <c r="H239" i="12"/>
  <c r="Y276" i="12"/>
  <c r="X238" i="12"/>
  <c r="X167" i="12"/>
  <c r="X239" i="12"/>
  <c r="X166" i="12"/>
  <c r="X208" i="12"/>
  <c r="X169" i="12"/>
  <c r="X168" i="12"/>
  <c r="AN167" i="12"/>
  <c r="AN238" i="12"/>
  <c r="AN166" i="12"/>
  <c r="AN208" i="12"/>
  <c r="AO276" i="12"/>
  <c r="AN239" i="12"/>
  <c r="AN169" i="12"/>
  <c r="AN168" i="12"/>
  <c r="X170" i="12"/>
  <c r="AF170" i="12"/>
  <c r="AJ170" i="12"/>
  <c r="AN170" i="12"/>
  <c r="AR170" i="12"/>
  <c r="AV170" i="12"/>
  <c r="AZ170" i="12"/>
  <c r="P146" i="12"/>
  <c r="P144" i="12"/>
  <c r="T146" i="12"/>
  <c r="T144" i="12"/>
  <c r="T145" i="12"/>
  <c r="AA145" i="12"/>
  <c r="AA144" i="12"/>
  <c r="AA146" i="12"/>
  <c r="AI145" i="12"/>
  <c r="AI144" i="12"/>
  <c r="AI146" i="12"/>
  <c r="AQ145" i="12"/>
  <c r="AQ146" i="12"/>
  <c r="AQ144" i="12"/>
  <c r="AY146" i="12"/>
  <c r="AY145" i="12"/>
  <c r="AY144" i="12"/>
  <c r="K217" i="12"/>
  <c r="S217" i="12"/>
  <c r="AA217" i="12"/>
  <c r="AI217" i="12"/>
  <c r="AQ217" i="12"/>
  <c r="AY217" i="12"/>
  <c r="K211" i="12"/>
  <c r="S171" i="12"/>
  <c r="S211" i="12"/>
  <c r="AA211" i="12"/>
  <c r="AA171" i="12"/>
  <c r="AI211" i="12"/>
  <c r="AI171" i="12"/>
  <c r="AQ211" i="12"/>
  <c r="AQ171" i="12"/>
  <c r="AY211" i="12"/>
  <c r="AY171" i="12"/>
  <c r="K199" i="12"/>
  <c r="S172" i="12"/>
  <c r="S199" i="12"/>
  <c r="AA199" i="12"/>
  <c r="AA172" i="12"/>
  <c r="AI172" i="12"/>
  <c r="AI199" i="12"/>
  <c r="AQ199" i="12"/>
  <c r="AQ172" i="12"/>
  <c r="AY172" i="12"/>
  <c r="AY199" i="12"/>
  <c r="S173" i="12"/>
  <c r="AA173" i="12"/>
  <c r="AI173" i="12"/>
  <c r="AQ173" i="12"/>
  <c r="AY173" i="12"/>
  <c r="S174" i="12"/>
  <c r="AA174" i="12"/>
  <c r="AI174" i="12"/>
  <c r="AQ174" i="12"/>
  <c r="AY174" i="12"/>
  <c r="K200" i="12"/>
  <c r="S175" i="12"/>
  <c r="S200" i="12"/>
  <c r="AA200" i="12"/>
  <c r="AA175" i="12"/>
  <c r="AI200" i="12"/>
  <c r="AI175" i="12"/>
  <c r="AQ200" i="12"/>
  <c r="AQ175" i="12"/>
  <c r="AY200" i="12"/>
  <c r="AY175" i="12"/>
  <c r="O240" i="12"/>
  <c r="O178" i="12"/>
  <c r="O244" i="12"/>
  <c r="O202" i="12"/>
  <c r="O176" i="12"/>
  <c r="O177" i="12"/>
  <c r="AE244" i="12"/>
  <c r="AE178" i="12"/>
  <c r="AE177" i="12"/>
  <c r="AE176" i="12"/>
  <c r="AE202" i="12"/>
  <c r="AE240" i="12"/>
  <c r="AU177" i="12"/>
  <c r="AU240" i="12"/>
  <c r="AU176" i="12"/>
  <c r="AU178" i="12"/>
  <c r="AU202" i="12"/>
  <c r="AU244" i="12"/>
  <c r="O179" i="12"/>
  <c r="AI179" i="12"/>
  <c r="J209" i="12"/>
  <c r="AA138" i="12"/>
  <c r="Z236" i="12"/>
  <c r="AA277" i="12"/>
  <c r="Z243" i="12"/>
  <c r="Z182" i="12"/>
  <c r="AP237" i="12"/>
  <c r="AQ278" i="12"/>
  <c r="AP139" i="12"/>
  <c r="K281" i="12"/>
  <c r="AH71" i="12"/>
  <c r="AH67" i="17" s="1"/>
  <c r="AH72" i="12"/>
  <c r="AH68" i="17" s="1"/>
  <c r="W285" i="12"/>
  <c r="V185" i="12"/>
  <c r="O141" i="12"/>
  <c r="I218" i="12"/>
  <c r="I245" i="12"/>
  <c r="I229" i="12"/>
  <c r="I242" i="12"/>
  <c r="I226" i="12"/>
  <c r="I197" i="12"/>
  <c r="J266" i="12"/>
  <c r="I216" i="12"/>
  <c r="M218" i="12"/>
  <c r="M229" i="12"/>
  <c r="M197" i="12"/>
  <c r="M226" i="12"/>
  <c r="M216" i="12"/>
  <c r="M245" i="12"/>
  <c r="N266" i="12"/>
  <c r="M242" i="12"/>
  <c r="Q245" i="12"/>
  <c r="Q242" i="12"/>
  <c r="Q123" i="12"/>
  <c r="Q226" i="12"/>
  <c r="Q218" i="12"/>
  <c r="Q137" i="12"/>
  <c r="Q59" i="17" s="1"/>
  <c r="Q197" i="12"/>
  <c r="Q229" i="12"/>
  <c r="Q125" i="12"/>
  <c r="Q126" i="12"/>
  <c r="Q124" i="12"/>
  <c r="Q216" i="12"/>
  <c r="U197" i="12"/>
  <c r="U125" i="12"/>
  <c r="U229" i="12"/>
  <c r="U245" i="12"/>
  <c r="U226" i="12"/>
  <c r="U123" i="12"/>
  <c r="U242" i="12"/>
  <c r="U126" i="12"/>
  <c r="U124" i="12"/>
  <c r="Y125" i="12"/>
  <c r="Y216" i="12"/>
  <c r="Y126" i="12"/>
  <c r="Y137" i="12"/>
  <c r="Y59" i="17" s="1"/>
  <c r="Y229" i="12"/>
  <c r="Y123" i="12"/>
  <c r="Y242" i="12"/>
  <c r="Y197" i="12"/>
  <c r="Y218" i="12"/>
  <c r="Y245" i="12"/>
  <c r="Y124" i="12"/>
  <c r="Y226" i="12"/>
  <c r="AC229" i="12"/>
  <c r="AC126" i="12"/>
  <c r="AC123" i="12"/>
  <c r="AC197" i="12"/>
  <c r="AC218" i="12"/>
  <c r="AC216" i="12"/>
  <c r="AC245" i="12"/>
  <c r="AC242" i="12"/>
  <c r="AC226" i="12"/>
  <c r="AC125" i="12"/>
  <c r="AC127" i="12"/>
  <c r="AD266" i="12"/>
  <c r="AC137" i="12"/>
  <c r="AC59" i="17" s="1"/>
  <c r="AC124" i="12"/>
  <c r="AC128" i="12"/>
  <c r="AG218" i="12"/>
  <c r="AG125" i="12"/>
  <c r="AG245" i="12"/>
  <c r="AH266" i="12"/>
  <c r="AG226" i="12"/>
  <c r="AG242" i="12"/>
  <c r="AG126" i="12"/>
  <c r="AG123" i="12"/>
  <c r="AG127" i="12"/>
  <c r="AG216" i="12"/>
  <c r="AG137" i="12"/>
  <c r="AG59" i="17" s="1"/>
  <c r="AG197" i="12"/>
  <c r="AG124" i="12"/>
  <c r="AG128" i="12"/>
  <c r="AG229" i="12"/>
  <c r="AK242" i="12"/>
  <c r="AL266" i="12"/>
  <c r="AK197" i="12"/>
  <c r="AK229" i="12"/>
  <c r="AK126" i="12"/>
  <c r="AK216" i="12"/>
  <c r="AK123" i="12"/>
  <c r="AK125" i="12"/>
  <c r="AK128" i="12"/>
  <c r="AK245" i="12"/>
  <c r="AK226" i="12"/>
  <c r="AK124" i="12"/>
  <c r="AK137" i="12"/>
  <c r="AK59" i="17" s="1"/>
  <c r="AK218" i="12"/>
  <c r="AK127" i="12"/>
  <c r="AO125" i="12"/>
  <c r="AO126" i="12"/>
  <c r="AO197" i="12"/>
  <c r="AO226" i="12"/>
  <c r="AO245" i="12"/>
  <c r="AO216" i="12"/>
  <c r="AP266" i="12"/>
  <c r="AO124" i="12"/>
  <c r="AO123" i="12"/>
  <c r="AO242" i="12"/>
  <c r="AO128" i="12"/>
  <c r="AO127" i="12"/>
  <c r="AO229" i="12"/>
  <c r="AS229" i="12"/>
  <c r="AS125" i="12"/>
  <c r="AS123" i="12"/>
  <c r="AS127" i="12"/>
  <c r="AS242" i="12"/>
  <c r="AS226" i="12"/>
  <c r="AS124" i="12"/>
  <c r="AS245" i="12"/>
  <c r="AS216" i="12"/>
  <c r="AS197" i="12"/>
  <c r="AT266" i="12"/>
  <c r="AS126" i="12"/>
  <c r="AS128" i="12"/>
  <c r="AS137" i="12"/>
  <c r="AW226" i="12"/>
  <c r="AX266" i="12"/>
  <c r="AW126" i="12"/>
  <c r="AW124" i="12"/>
  <c r="AW137" i="12"/>
  <c r="AW123" i="12"/>
  <c r="AW127" i="12"/>
  <c r="AW125" i="12"/>
  <c r="AW216" i="12"/>
  <c r="AW242" i="12"/>
  <c r="AW218" i="12"/>
  <c r="AW229" i="12"/>
  <c r="AW197" i="12"/>
  <c r="AW128" i="12"/>
  <c r="AW245" i="12"/>
  <c r="BA216" i="12"/>
  <c r="BA197" i="12"/>
  <c r="BA218" i="12"/>
  <c r="BA126" i="12"/>
  <c r="BA127" i="12"/>
  <c r="BA137" i="12"/>
  <c r="AQ59" i="17" s="1"/>
  <c r="BA229" i="12"/>
  <c r="BA226" i="12"/>
  <c r="BA245" i="12"/>
  <c r="BA125" i="12"/>
  <c r="BA124" i="12"/>
  <c r="BA128" i="12"/>
  <c r="BA123" i="12"/>
  <c r="BA242" i="12"/>
  <c r="I219" i="12"/>
  <c r="I246" i="12"/>
  <c r="I227" i="12"/>
  <c r="I228" i="12"/>
  <c r="I220" i="12"/>
  <c r="M227" i="12"/>
  <c r="M219" i="12"/>
  <c r="M220" i="12"/>
  <c r="M228" i="12"/>
  <c r="M246" i="12"/>
  <c r="Q220" i="12"/>
  <c r="Q149" i="12"/>
  <c r="Q223" i="12"/>
  <c r="Q219" i="12"/>
  <c r="Q228" i="12"/>
  <c r="Q224" i="12"/>
  <c r="Q227" i="12"/>
  <c r="Q246" i="12"/>
  <c r="Q150" i="12"/>
  <c r="U228" i="12"/>
  <c r="U148" i="12"/>
  <c r="U219" i="12"/>
  <c r="V267" i="12"/>
  <c r="U224" i="12"/>
  <c r="U246" i="12"/>
  <c r="U220" i="12"/>
  <c r="U223" i="12"/>
  <c r="U227" i="12"/>
  <c r="U150" i="12"/>
  <c r="U149" i="12"/>
  <c r="Y246" i="12"/>
  <c r="Y224" i="12"/>
  <c r="Y223" i="12"/>
  <c r="Y228" i="12"/>
  <c r="Y220" i="12"/>
  <c r="Y149" i="12"/>
  <c r="Y150" i="12"/>
  <c r="Y219" i="12"/>
  <c r="Y227" i="12"/>
  <c r="AC224" i="12"/>
  <c r="AC148" i="12"/>
  <c r="AC219" i="12"/>
  <c r="AC149" i="12"/>
  <c r="AC150" i="12"/>
  <c r="AC227" i="12"/>
  <c r="AC220" i="12"/>
  <c r="AC246" i="12"/>
  <c r="AC228" i="12"/>
  <c r="AC223" i="12"/>
  <c r="AD267" i="12"/>
  <c r="AG246" i="12"/>
  <c r="AG228" i="12"/>
  <c r="AG223" i="12"/>
  <c r="AG219" i="12"/>
  <c r="AG149" i="12"/>
  <c r="AH267" i="12"/>
  <c r="AG224" i="12"/>
  <c r="AG150" i="12"/>
  <c r="AG227" i="12"/>
  <c r="AG148" i="12"/>
  <c r="AG220" i="12"/>
  <c r="AK149" i="12"/>
  <c r="AK223" i="12"/>
  <c r="AK228" i="12"/>
  <c r="AK219" i="12"/>
  <c r="AK150" i="12"/>
  <c r="AK246" i="12"/>
  <c r="AK227" i="12"/>
  <c r="AK220" i="12"/>
  <c r="AK224" i="12"/>
  <c r="AL267" i="12"/>
  <c r="AK148" i="12"/>
  <c r="AO220" i="12"/>
  <c r="AO228" i="12"/>
  <c r="AO148" i="12"/>
  <c r="AO224" i="12"/>
  <c r="AO219" i="12"/>
  <c r="AO149" i="12"/>
  <c r="AO227" i="12"/>
  <c r="AO150" i="12"/>
  <c r="AO246" i="12"/>
  <c r="AO223" i="12"/>
  <c r="AP267" i="12"/>
  <c r="AS246" i="12"/>
  <c r="AS148" i="12"/>
  <c r="AS219" i="12"/>
  <c r="AS224" i="12"/>
  <c r="AS228" i="12"/>
  <c r="AT267" i="12"/>
  <c r="AS220" i="12"/>
  <c r="AS150" i="12"/>
  <c r="AS223" i="12"/>
  <c r="AS227" i="12"/>
  <c r="AS149" i="12"/>
  <c r="AX267" i="12"/>
  <c r="AW227" i="12"/>
  <c r="AW220" i="12"/>
  <c r="AW223" i="12"/>
  <c r="AW219" i="12"/>
  <c r="AW150" i="12"/>
  <c r="AW148" i="12"/>
  <c r="AW149" i="12"/>
  <c r="AW228" i="12"/>
  <c r="AW224" i="12"/>
  <c r="AW246" i="12"/>
  <c r="BA228" i="12"/>
  <c r="BA220" i="12"/>
  <c r="BA149" i="12"/>
  <c r="BA246" i="12"/>
  <c r="BA223" i="12"/>
  <c r="BA148" i="12"/>
  <c r="BA224" i="12"/>
  <c r="BA219" i="12"/>
  <c r="BA227" i="12"/>
  <c r="BA150" i="12"/>
  <c r="I147" i="12"/>
  <c r="M147" i="12"/>
  <c r="Q147" i="12"/>
  <c r="J268" i="12"/>
  <c r="N268" i="12"/>
  <c r="R268" i="12"/>
  <c r="V268" i="12"/>
  <c r="Z268" i="12"/>
  <c r="AD268" i="12"/>
  <c r="AH268" i="12"/>
  <c r="AL268" i="12"/>
  <c r="AP268" i="12"/>
  <c r="AT268" i="12"/>
  <c r="AX268" i="12"/>
  <c r="Q151" i="12"/>
  <c r="U151" i="12"/>
  <c r="AC151" i="12"/>
  <c r="AG151" i="12"/>
  <c r="AK151" i="12"/>
  <c r="AO151" i="12"/>
  <c r="AS151" i="12"/>
  <c r="AW151" i="12"/>
  <c r="BA151" i="12"/>
  <c r="I230" i="12"/>
  <c r="J269" i="12"/>
  <c r="M230" i="12"/>
  <c r="N269" i="12"/>
  <c r="Q153" i="12"/>
  <c r="Q154" i="12"/>
  <c r="Q230" i="12"/>
  <c r="Q155" i="12"/>
  <c r="Q152" i="12"/>
  <c r="R269" i="12"/>
  <c r="U153" i="12"/>
  <c r="U154" i="12"/>
  <c r="V269" i="12"/>
  <c r="U230" i="12"/>
  <c r="U152" i="12"/>
  <c r="U155" i="12"/>
  <c r="Y153" i="12"/>
  <c r="Z269" i="12"/>
  <c r="Y152" i="12"/>
  <c r="Y230" i="12"/>
  <c r="Y155" i="12"/>
  <c r="Y154" i="12"/>
  <c r="AC155" i="12"/>
  <c r="AC152" i="12"/>
  <c r="AD269" i="12"/>
  <c r="AC153" i="12"/>
  <c r="AC230" i="12"/>
  <c r="AC154" i="12"/>
  <c r="AG152" i="12"/>
  <c r="AG230" i="12"/>
  <c r="AH269" i="12"/>
  <c r="AG154" i="12"/>
  <c r="AG153" i="12"/>
  <c r="AG155" i="12"/>
  <c r="AK152" i="12"/>
  <c r="AK230" i="12"/>
  <c r="AK154" i="12"/>
  <c r="AK153" i="12"/>
  <c r="AL269" i="12"/>
  <c r="AK155" i="12"/>
  <c r="AO152" i="12"/>
  <c r="AO154" i="12"/>
  <c r="AO155" i="12"/>
  <c r="AP269" i="12"/>
  <c r="AO230" i="12"/>
  <c r="AO153" i="12"/>
  <c r="AS230" i="12"/>
  <c r="AT269" i="12"/>
  <c r="AS152" i="12"/>
  <c r="AS155" i="12"/>
  <c r="AS154" i="12"/>
  <c r="AS153" i="12"/>
  <c r="AW153" i="12"/>
  <c r="AW154" i="12"/>
  <c r="AW155" i="12"/>
  <c r="AX269" i="12"/>
  <c r="AW230" i="12"/>
  <c r="AW152" i="12"/>
  <c r="BA154" i="12"/>
  <c r="BA153" i="12"/>
  <c r="BA152" i="12"/>
  <c r="BA155" i="12"/>
  <c r="BA230" i="12"/>
  <c r="J270" i="12"/>
  <c r="N270" i="12"/>
  <c r="R270" i="12"/>
  <c r="V270" i="12"/>
  <c r="Z270" i="12"/>
  <c r="AD270" i="12"/>
  <c r="AH270" i="12"/>
  <c r="AL270" i="12"/>
  <c r="AP270" i="12"/>
  <c r="AT270" i="12"/>
  <c r="AX270" i="12"/>
  <c r="I207" i="12"/>
  <c r="M207" i="12"/>
  <c r="Q207" i="12"/>
  <c r="U207" i="12"/>
  <c r="Y207" i="12"/>
  <c r="AC207" i="12"/>
  <c r="AG207" i="12"/>
  <c r="AK207" i="12"/>
  <c r="AO207" i="12"/>
  <c r="AS207" i="12"/>
  <c r="AW207" i="12"/>
  <c r="BA207" i="12"/>
  <c r="I231" i="12"/>
  <c r="J271" i="12"/>
  <c r="I232" i="12"/>
  <c r="M232" i="12"/>
  <c r="N271" i="12"/>
  <c r="M231" i="12"/>
  <c r="Q232" i="12"/>
  <c r="Q231" i="12"/>
  <c r="U231" i="12"/>
  <c r="Y231" i="12"/>
  <c r="Y232" i="12"/>
  <c r="Z271" i="12"/>
  <c r="AC231" i="12"/>
  <c r="AC232" i="12"/>
  <c r="AD271" i="12"/>
  <c r="AG231" i="12"/>
  <c r="AH271" i="12"/>
  <c r="AG232" i="12"/>
  <c r="AK232" i="12"/>
  <c r="AL271" i="12"/>
  <c r="AK231" i="12"/>
  <c r="AO232" i="12"/>
  <c r="AS232" i="12"/>
  <c r="AS231" i="12"/>
  <c r="AT271" i="12"/>
  <c r="AX271" i="12"/>
  <c r="AW231" i="12"/>
  <c r="AW232" i="12"/>
  <c r="BA231" i="12"/>
  <c r="BA232" i="12"/>
  <c r="I234" i="12"/>
  <c r="I198" i="12"/>
  <c r="J272" i="12"/>
  <c r="I233" i="12"/>
  <c r="N272" i="12"/>
  <c r="M198" i="12"/>
  <c r="M234" i="12"/>
  <c r="M233" i="12"/>
  <c r="Q161" i="12"/>
  <c r="Q160" i="12"/>
  <c r="Q233" i="12"/>
  <c r="Q156" i="12"/>
  <c r="Q234" i="12"/>
  <c r="Q158" i="12"/>
  <c r="Q159" i="12"/>
  <c r="Q162" i="12"/>
  <c r="Q198" i="12"/>
  <c r="R272" i="12"/>
  <c r="Q157" i="12"/>
  <c r="U159" i="12"/>
  <c r="U157" i="12"/>
  <c r="V272" i="12"/>
  <c r="U156" i="12"/>
  <c r="U161" i="12"/>
  <c r="U233" i="12"/>
  <c r="U158" i="12"/>
  <c r="U160" i="12"/>
  <c r="U198" i="12"/>
  <c r="U162" i="12"/>
  <c r="U234" i="12"/>
  <c r="Y233" i="12"/>
  <c r="Y234" i="12"/>
  <c r="Y157" i="12"/>
  <c r="Y160" i="12"/>
  <c r="Y158" i="12"/>
  <c r="Z272" i="12"/>
  <c r="Y161" i="12"/>
  <c r="Y198" i="12"/>
  <c r="Y159" i="12"/>
  <c r="Y162" i="12"/>
  <c r="AC233" i="12"/>
  <c r="AC159" i="12"/>
  <c r="AC162" i="12"/>
  <c r="AC158" i="12"/>
  <c r="AC161" i="12"/>
  <c r="AC234" i="12"/>
  <c r="AC157" i="12"/>
  <c r="AC198" i="12"/>
  <c r="AC156" i="12"/>
  <c r="AC160" i="12"/>
  <c r="AD272" i="12"/>
  <c r="AG157" i="12"/>
  <c r="AH272" i="12"/>
  <c r="AG198" i="12"/>
  <c r="AG162" i="12"/>
  <c r="AG159" i="12"/>
  <c r="AG156" i="12"/>
  <c r="AG160" i="12"/>
  <c r="AG161" i="12"/>
  <c r="AG233" i="12"/>
  <c r="AG158" i="12"/>
  <c r="AG234" i="12"/>
  <c r="AK162" i="12"/>
  <c r="AL272" i="12"/>
  <c r="AK161" i="12"/>
  <c r="AK234" i="12"/>
  <c r="AK233" i="12"/>
  <c r="AK158" i="12"/>
  <c r="AK159" i="12"/>
  <c r="AK198" i="12"/>
  <c r="AK157" i="12"/>
  <c r="AK160" i="12"/>
  <c r="AK156" i="12"/>
  <c r="AO159" i="12"/>
  <c r="AO234" i="12"/>
  <c r="AO233" i="12"/>
  <c r="AO161" i="12"/>
  <c r="AP272" i="12"/>
  <c r="AO158" i="12"/>
  <c r="AO160" i="12"/>
  <c r="AO156" i="12"/>
  <c r="AO162" i="12"/>
  <c r="AO157" i="12"/>
  <c r="AO198" i="12"/>
  <c r="AS234" i="12"/>
  <c r="AS233" i="12"/>
  <c r="AS161" i="12"/>
  <c r="AT272" i="12"/>
  <c r="AS162" i="12"/>
  <c r="AS156" i="12"/>
  <c r="AS160" i="12"/>
  <c r="AS158" i="12"/>
  <c r="AS159" i="12"/>
  <c r="AS198" i="12"/>
  <c r="AW162" i="12"/>
  <c r="AW234" i="12"/>
  <c r="AW157" i="12"/>
  <c r="AW233" i="12"/>
  <c r="AW158" i="12"/>
  <c r="AW160" i="12"/>
  <c r="AW161" i="12"/>
  <c r="AW156" i="12"/>
  <c r="AW198" i="12"/>
  <c r="AW159" i="12"/>
  <c r="AX272" i="12"/>
  <c r="BA233" i="12"/>
  <c r="BA156" i="12"/>
  <c r="BA159" i="12"/>
  <c r="BA161" i="12"/>
  <c r="BA198" i="12"/>
  <c r="BA162" i="12"/>
  <c r="BA234" i="12"/>
  <c r="BA158" i="12"/>
  <c r="BA160" i="12"/>
  <c r="BA157" i="12"/>
  <c r="J273" i="12"/>
  <c r="N273" i="12"/>
  <c r="R273" i="12"/>
  <c r="V273" i="12"/>
  <c r="Z273" i="12"/>
  <c r="AD273" i="12"/>
  <c r="AH273" i="12"/>
  <c r="AL273" i="12"/>
  <c r="AP273" i="12"/>
  <c r="AT273" i="12"/>
  <c r="AX273" i="12"/>
  <c r="J274" i="12"/>
  <c r="N274" i="12"/>
  <c r="Q163" i="12"/>
  <c r="R274" i="12"/>
  <c r="Q164" i="12"/>
  <c r="V274" i="12"/>
  <c r="U164" i="12"/>
  <c r="U163" i="12"/>
  <c r="Y163" i="12"/>
  <c r="AC164" i="12"/>
  <c r="AD274" i="12"/>
  <c r="AC163" i="12"/>
  <c r="AG163" i="12"/>
  <c r="AG164" i="12"/>
  <c r="AH274" i="12"/>
  <c r="AL274" i="12"/>
  <c r="AK163" i="12"/>
  <c r="AK164" i="12"/>
  <c r="AO164" i="12"/>
  <c r="AO163" i="12"/>
  <c r="AP274" i="12"/>
  <c r="AS163" i="12"/>
  <c r="AT274" i="12"/>
  <c r="AS164" i="12"/>
  <c r="AW164" i="12"/>
  <c r="AX274" i="12"/>
  <c r="AW163" i="12"/>
  <c r="BA163" i="12"/>
  <c r="BA164" i="12"/>
  <c r="I205" i="12"/>
  <c r="J275" i="12"/>
  <c r="N275" i="12"/>
  <c r="M205" i="12"/>
  <c r="Q165" i="12"/>
  <c r="R275" i="12"/>
  <c r="Q205" i="12"/>
  <c r="U205" i="12"/>
  <c r="V275" i="12"/>
  <c r="U165" i="12"/>
  <c r="Y205" i="12"/>
  <c r="Z275" i="12"/>
  <c r="Y165" i="12"/>
  <c r="AC205" i="12"/>
  <c r="AD275" i="12"/>
  <c r="AC165" i="12"/>
  <c r="AG205" i="12"/>
  <c r="AH275" i="12"/>
  <c r="AG165" i="12"/>
  <c r="AL275" i="12"/>
  <c r="AK205" i="12"/>
  <c r="AK165" i="12"/>
  <c r="AO165" i="12"/>
  <c r="AP275" i="12"/>
  <c r="AO205" i="12"/>
  <c r="AS205" i="12"/>
  <c r="AT275" i="12"/>
  <c r="AS165" i="12"/>
  <c r="AX275" i="12"/>
  <c r="AW205" i="12"/>
  <c r="AW165" i="12"/>
  <c r="BA165" i="12"/>
  <c r="BA205" i="12"/>
  <c r="J276" i="12"/>
  <c r="I239" i="12"/>
  <c r="I238" i="12"/>
  <c r="I208" i="12"/>
  <c r="N276" i="12"/>
  <c r="M238" i="12"/>
  <c r="M239" i="12"/>
  <c r="M208" i="12"/>
  <c r="Q167" i="12"/>
  <c r="Q169" i="12"/>
  <c r="R276" i="12"/>
  <c r="Q168" i="12"/>
  <c r="Q239" i="12"/>
  <c r="Q208" i="12"/>
  <c r="Q238" i="12"/>
  <c r="Q166" i="12"/>
  <c r="U169" i="12"/>
  <c r="U166" i="12"/>
  <c r="U238" i="12"/>
  <c r="V276" i="12"/>
  <c r="U208" i="12"/>
  <c r="U168" i="12"/>
  <c r="U239" i="12"/>
  <c r="U167" i="12"/>
  <c r="Y238" i="12"/>
  <c r="Y167" i="12"/>
  <c r="Y169" i="12"/>
  <c r="Y168" i="12"/>
  <c r="Y166" i="12"/>
  <c r="Y208" i="12"/>
  <c r="Y239" i="12"/>
  <c r="Z276" i="12"/>
  <c r="AC166" i="12"/>
  <c r="AC238" i="12"/>
  <c r="AC239" i="12"/>
  <c r="AC169" i="12"/>
  <c r="AC208" i="12"/>
  <c r="AD276" i="12"/>
  <c r="AC167" i="12"/>
  <c r="AC168" i="12"/>
  <c r="AG239" i="12"/>
  <c r="AG208" i="12"/>
  <c r="AG167" i="12"/>
  <c r="AG168" i="12"/>
  <c r="AG169" i="12"/>
  <c r="AG238" i="12"/>
  <c r="AG166" i="12"/>
  <c r="AH276" i="12"/>
  <c r="AK208" i="12"/>
  <c r="AK169" i="12"/>
  <c r="AK238" i="12"/>
  <c r="AK239" i="12"/>
  <c r="AK168" i="12"/>
  <c r="AL276" i="12"/>
  <c r="AK167" i="12"/>
  <c r="AK166" i="12"/>
  <c r="AO166" i="12"/>
  <c r="AP276" i="12"/>
  <c r="AO238" i="12"/>
  <c r="AO239" i="12"/>
  <c r="AO167" i="12"/>
  <c r="AO208" i="12"/>
  <c r="AO168" i="12"/>
  <c r="AO169" i="12"/>
  <c r="AT276" i="12"/>
  <c r="AS166" i="12"/>
  <c r="AS167" i="12"/>
  <c r="AS239" i="12"/>
  <c r="AS238" i="12"/>
  <c r="AS169" i="12"/>
  <c r="AS168" i="12"/>
  <c r="AS208" i="12"/>
  <c r="AW167" i="12"/>
  <c r="AX276" i="12"/>
  <c r="AW238" i="12"/>
  <c r="AW208" i="12"/>
  <c r="AW168" i="12"/>
  <c r="AW239" i="12"/>
  <c r="AW166" i="12"/>
  <c r="AW169" i="12"/>
  <c r="BA167" i="12"/>
  <c r="BA238" i="12"/>
  <c r="BA169" i="12"/>
  <c r="BA239" i="12"/>
  <c r="BA166" i="12"/>
  <c r="BA168" i="12"/>
  <c r="BA208" i="12"/>
  <c r="Q170" i="12"/>
  <c r="Y170" i="12"/>
  <c r="AC170" i="12"/>
  <c r="AG170" i="12"/>
  <c r="AK170" i="12"/>
  <c r="AO170" i="12"/>
  <c r="AS170" i="12"/>
  <c r="AW170" i="12"/>
  <c r="BA170" i="12"/>
  <c r="Q145" i="12"/>
  <c r="Q146" i="12"/>
  <c r="Q144" i="12"/>
  <c r="V144" i="12"/>
  <c r="V146" i="12"/>
  <c r="V145" i="12"/>
  <c r="AB144" i="12"/>
  <c r="AB145" i="12"/>
  <c r="AB146" i="12"/>
  <c r="AJ146" i="12"/>
  <c r="AJ144" i="12"/>
  <c r="AJ145" i="12"/>
  <c r="AR144" i="12"/>
  <c r="AR145" i="12"/>
  <c r="AR146" i="12"/>
  <c r="AZ144" i="12"/>
  <c r="AZ145" i="12"/>
  <c r="AZ146" i="12"/>
  <c r="L217" i="12"/>
  <c r="T217" i="12"/>
  <c r="AB217" i="12"/>
  <c r="AJ217" i="12"/>
  <c r="AR217" i="12"/>
  <c r="AZ217" i="12"/>
  <c r="L211" i="12"/>
  <c r="T171" i="12"/>
  <c r="T211" i="12"/>
  <c r="AB171" i="12"/>
  <c r="AB211" i="12"/>
  <c r="AJ171" i="12"/>
  <c r="AJ211" i="12"/>
  <c r="AR211" i="12"/>
  <c r="AR171" i="12"/>
  <c r="AZ211" i="12"/>
  <c r="AZ171" i="12"/>
  <c r="L199" i="12"/>
  <c r="T199" i="12"/>
  <c r="AB199" i="12"/>
  <c r="AB172" i="12"/>
  <c r="AJ199" i="12"/>
  <c r="AJ172" i="12"/>
  <c r="AR172" i="12"/>
  <c r="AR199" i="12"/>
  <c r="AZ199" i="12"/>
  <c r="AZ172" i="12"/>
  <c r="T173" i="12"/>
  <c r="AB173" i="12"/>
  <c r="AJ173" i="12"/>
  <c r="AR173" i="12"/>
  <c r="AZ173" i="12"/>
  <c r="T174" i="12"/>
  <c r="AB174" i="12"/>
  <c r="AJ174" i="12"/>
  <c r="AR174" i="12"/>
  <c r="AZ174" i="12"/>
  <c r="L200" i="12"/>
  <c r="T200" i="12"/>
  <c r="T175" i="12"/>
  <c r="AB175" i="12"/>
  <c r="AB200" i="12"/>
  <c r="AJ175" i="12"/>
  <c r="AJ200" i="12"/>
  <c r="AR200" i="12"/>
  <c r="AZ200" i="12"/>
  <c r="AZ175" i="12"/>
  <c r="S178" i="12"/>
  <c r="S177" i="12"/>
  <c r="S202" i="12"/>
  <c r="S176" i="12"/>
  <c r="S240" i="12"/>
  <c r="S244" i="12"/>
  <c r="AI244" i="12"/>
  <c r="AI240" i="12"/>
  <c r="AI176" i="12"/>
  <c r="AI202" i="12"/>
  <c r="AI178" i="12"/>
  <c r="AI177" i="12"/>
  <c r="AY202" i="12"/>
  <c r="AY176" i="12"/>
  <c r="AY240" i="12"/>
  <c r="AY177" i="12"/>
  <c r="AY178" i="12"/>
  <c r="AY244" i="12"/>
  <c r="S179" i="12"/>
  <c r="Z209" i="12"/>
  <c r="AQ277" i="12"/>
  <c r="AP243" i="12"/>
  <c r="AP182" i="12"/>
  <c r="AQ138" i="12"/>
  <c r="AP236" i="12"/>
  <c r="K280" i="12"/>
  <c r="J247" i="12"/>
  <c r="AA281" i="12"/>
  <c r="Z136" i="12"/>
  <c r="AX72" i="12"/>
  <c r="AX71" i="12"/>
  <c r="V76" i="12"/>
  <c r="V75" i="12"/>
  <c r="AL186" i="12"/>
  <c r="AL222" i="12"/>
  <c r="AM286" i="12"/>
  <c r="G290" i="12"/>
  <c r="F229" i="12"/>
  <c r="F218" i="12"/>
  <c r="F242" i="12"/>
  <c r="F245" i="12"/>
  <c r="G266" i="12"/>
  <c r="F226" i="12"/>
  <c r="F197" i="12"/>
  <c r="F216" i="12"/>
  <c r="K266" i="12"/>
  <c r="J245" i="12"/>
  <c r="J242" i="12"/>
  <c r="J197" i="12"/>
  <c r="J216" i="12"/>
  <c r="J229" i="12"/>
  <c r="J226" i="12"/>
  <c r="J218" i="12"/>
  <c r="N123" i="12"/>
  <c r="N218" i="12"/>
  <c r="N242" i="12"/>
  <c r="N245" i="12"/>
  <c r="N125" i="12"/>
  <c r="N226" i="12"/>
  <c r="N197" i="12"/>
  <c r="O266" i="12"/>
  <c r="N137" i="12"/>
  <c r="N59" i="17" s="1"/>
  <c r="N124" i="12"/>
  <c r="N216" i="12"/>
  <c r="N126" i="12"/>
  <c r="N229" i="12"/>
  <c r="R226" i="12"/>
  <c r="R245" i="12"/>
  <c r="R124" i="12"/>
  <c r="R125" i="12"/>
  <c r="S266" i="12"/>
  <c r="R242" i="12"/>
  <c r="R126" i="12"/>
  <c r="R137" i="12"/>
  <c r="R59" i="17" s="1"/>
  <c r="R229" i="12"/>
  <c r="R197" i="12"/>
  <c r="R123" i="12"/>
  <c r="V124" i="12"/>
  <c r="V197" i="12"/>
  <c r="V242" i="12"/>
  <c r="V218" i="12"/>
  <c r="V126" i="12"/>
  <c r="V229" i="12"/>
  <c r="V123" i="12"/>
  <c r="V226" i="12"/>
  <c r="V125" i="12"/>
  <c r="V245" i="12"/>
  <c r="W266" i="12"/>
  <c r="V216" i="12"/>
  <c r="V137" i="12"/>
  <c r="V59" i="17" s="1"/>
  <c r="Z123" i="12"/>
  <c r="Z229" i="12"/>
  <c r="Z124" i="12"/>
  <c r="Z218" i="12"/>
  <c r="Z226" i="12"/>
  <c r="Z245" i="12"/>
  <c r="Z216" i="12"/>
  <c r="Z126" i="12"/>
  <c r="Z127" i="12"/>
  <c r="Z197" i="12"/>
  <c r="Z125" i="12"/>
  <c r="Z128" i="12"/>
  <c r="AA266" i="12"/>
  <c r="Z242" i="12"/>
  <c r="Z137" i="12"/>
  <c r="Z59" i="17" s="1"/>
  <c r="AD125" i="12"/>
  <c r="AE266" i="12"/>
  <c r="AD242" i="12"/>
  <c r="AD226" i="12"/>
  <c r="AD216" i="12"/>
  <c r="AD229" i="12"/>
  <c r="AD124" i="12"/>
  <c r="AD128" i="12"/>
  <c r="AD197" i="12"/>
  <c r="AD218" i="12"/>
  <c r="AD126" i="12"/>
  <c r="AD127" i="12"/>
  <c r="AD123" i="12"/>
  <c r="AD245" i="12"/>
  <c r="AD137" i="12"/>
  <c r="AD59" i="17" s="1"/>
  <c r="AH216" i="12"/>
  <c r="AH137" i="12"/>
  <c r="AH59" i="17" s="1"/>
  <c r="AI266" i="12"/>
  <c r="AH197" i="12"/>
  <c r="AH123" i="12"/>
  <c r="AH127" i="12"/>
  <c r="AH218" i="12"/>
  <c r="AH245" i="12"/>
  <c r="AH124" i="12"/>
  <c r="AH125" i="12"/>
  <c r="AH128" i="12"/>
  <c r="AH242" i="12"/>
  <c r="AH226" i="12"/>
  <c r="AH126" i="12"/>
  <c r="AH229" i="12"/>
  <c r="AL218" i="12"/>
  <c r="AL197" i="12"/>
  <c r="AL124" i="12"/>
  <c r="AL242" i="12"/>
  <c r="AL226" i="12"/>
  <c r="AL123" i="12"/>
  <c r="AL127" i="12"/>
  <c r="AM266" i="12"/>
  <c r="AL125" i="12"/>
  <c r="AL128" i="12"/>
  <c r="AL137" i="12"/>
  <c r="AL59" i="17" s="1"/>
  <c r="AL229" i="12"/>
  <c r="AL216" i="12"/>
  <c r="AL126" i="12"/>
  <c r="AL245" i="12"/>
  <c r="AP218" i="12"/>
  <c r="AP197" i="12"/>
  <c r="AP126" i="12"/>
  <c r="AP229" i="12"/>
  <c r="AP137" i="12"/>
  <c r="AP59" i="17" s="1"/>
  <c r="AP245" i="12"/>
  <c r="AP226" i="12"/>
  <c r="AP242" i="12"/>
  <c r="AQ266" i="12"/>
  <c r="AP123" i="12"/>
  <c r="AP216" i="12"/>
  <c r="AP127" i="12"/>
  <c r="AP124" i="12"/>
  <c r="AP128" i="12"/>
  <c r="AP125" i="12"/>
  <c r="AT125" i="12"/>
  <c r="AT197" i="12"/>
  <c r="AT216" i="12"/>
  <c r="AT124" i="12"/>
  <c r="AT218" i="12"/>
  <c r="AT126" i="12"/>
  <c r="AT226" i="12"/>
  <c r="AT123" i="12"/>
  <c r="AT245" i="12"/>
  <c r="AT229" i="12"/>
  <c r="AU266" i="12"/>
  <c r="AT242" i="12"/>
  <c r="AT128" i="12"/>
  <c r="AT127" i="12"/>
  <c r="AX218" i="12"/>
  <c r="AX137" i="12"/>
  <c r="AX125" i="12"/>
  <c r="AX226" i="12"/>
  <c r="AX197" i="12"/>
  <c r="AY266" i="12"/>
  <c r="AX123" i="12"/>
  <c r="AX124" i="12"/>
  <c r="AX126" i="12"/>
  <c r="AX128" i="12"/>
  <c r="AX245" i="12"/>
  <c r="AX229" i="12"/>
  <c r="AX216" i="12"/>
  <c r="AX242" i="12"/>
  <c r="AX127" i="12"/>
  <c r="G267" i="12"/>
  <c r="F220" i="12"/>
  <c r="F227" i="12"/>
  <c r="F219" i="12"/>
  <c r="F228" i="12"/>
  <c r="F246" i="12"/>
  <c r="J227" i="12"/>
  <c r="J246" i="12"/>
  <c r="J220" i="12"/>
  <c r="J228" i="12"/>
  <c r="J219" i="12"/>
  <c r="K267" i="12"/>
  <c r="U250" i="12"/>
  <c r="N149" i="12"/>
  <c r="N227" i="12"/>
  <c r="X250" i="12"/>
  <c r="AB250" i="12"/>
  <c r="N150" i="12"/>
  <c r="AI250" i="12"/>
  <c r="AW250" i="12"/>
  <c r="AE250" i="12"/>
  <c r="AD250" i="12"/>
  <c r="N219" i="12"/>
  <c r="W250" i="12"/>
  <c r="P250" i="12"/>
  <c r="AK250" i="12"/>
  <c r="R250" i="12"/>
  <c r="AT250" i="12"/>
  <c r="AA250" i="12"/>
  <c r="N250" i="12"/>
  <c r="AC250" i="12"/>
  <c r="AX250" i="12"/>
  <c r="AF250" i="12"/>
  <c r="Z250" i="12"/>
  <c r="N224" i="12"/>
  <c r="N223" i="12"/>
  <c r="AS250" i="12"/>
  <c r="AO250" i="12"/>
  <c r="AP250" i="12"/>
  <c r="V250" i="12"/>
  <c r="BA250" i="12"/>
  <c r="AV250" i="12"/>
  <c r="Q250" i="12"/>
  <c r="AL250" i="12"/>
  <c r="N246" i="12"/>
  <c r="O267" i="12"/>
  <c r="AN250" i="12"/>
  <c r="O250" i="12"/>
  <c r="AH250" i="12"/>
  <c r="AZ250" i="12"/>
  <c r="N220" i="12"/>
  <c r="N228" i="12"/>
  <c r="AJ250" i="12"/>
  <c r="S250" i="12"/>
  <c r="AY250" i="12"/>
  <c r="T250" i="12"/>
  <c r="AR250" i="12"/>
  <c r="Y250" i="12"/>
  <c r="AM250" i="12"/>
  <c r="AQ250" i="12"/>
  <c r="AG250" i="12"/>
  <c r="AU250" i="12"/>
  <c r="R228" i="12"/>
  <c r="R246" i="12"/>
  <c r="R149" i="12"/>
  <c r="R148" i="12"/>
  <c r="R224" i="12"/>
  <c r="R220" i="12"/>
  <c r="R150" i="12"/>
  <c r="R227" i="12"/>
  <c r="R219" i="12"/>
  <c r="R223" i="12"/>
  <c r="S267" i="12"/>
  <c r="W267" i="12"/>
  <c r="V228" i="12"/>
  <c r="V246" i="12"/>
  <c r="V220" i="12"/>
  <c r="V223" i="12"/>
  <c r="V150" i="12"/>
  <c r="V227" i="12"/>
  <c r="V219" i="12"/>
  <c r="V224" i="12"/>
  <c r="Z228" i="12"/>
  <c r="Z220" i="12"/>
  <c r="Z150" i="12"/>
  <c r="Z223" i="12"/>
  <c r="Z219" i="12"/>
  <c r="AA267" i="12"/>
  <c r="Z224" i="12"/>
  <c r="Z149" i="12"/>
  <c r="Z227" i="12"/>
  <c r="Z246" i="12"/>
  <c r="AD220" i="12"/>
  <c r="AD228" i="12"/>
  <c r="AD148" i="12"/>
  <c r="AE267" i="12"/>
  <c r="AD219" i="12"/>
  <c r="AD224" i="12"/>
  <c r="AD246" i="12"/>
  <c r="AD223" i="12"/>
  <c r="AD149" i="12"/>
  <c r="AD227" i="12"/>
  <c r="AD150" i="12"/>
  <c r="AH228" i="12"/>
  <c r="AH224" i="12"/>
  <c r="AH246" i="12"/>
  <c r="AH220" i="12"/>
  <c r="AI267" i="12"/>
  <c r="AH149" i="12"/>
  <c r="AH227" i="12"/>
  <c r="AH148" i="12"/>
  <c r="AH219" i="12"/>
  <c r="AH223" i="12"/>
  <c r="AH150" i="12"/>
  <c r="AL224" i="12"/>
  <c r="AL150" i="12"/>
  <c r="AL228" i="12"/>
  <c r="AM267" i="12"/>
  <c r="AL219" i="12"/>
  <c r="AL149" i="12"/>
  <c r="AL148" i="12"/>
  <c r="AL246" i="12"/>
  <c r="AL227" i="12"/>
  <c r="AL220" i="12"/>
  <c r="AL223" i="12"/>
  <c r="AP227" i="12"/>
  <c r="AQ267" i="12"/>
  <c r="AP149" i="12"/>
  <c r="AP246" i="12"/>
  <c r="AP148" i="12"/>
  <c r="AP150" i="12"/>
  <c r="AP228" i="12"/>
  <c r="AP223" i="12"/>
  <c r="AP224" i="12"/>
  <c r="AP219" i="12"/>
  <c r="AP220" i="12"/>
  <c r="AT148" i="12"/>
  <c r="AT150" i="12"/>
  <c r="AT219" i="12"/>
  <c r="AT227" i="12"/>
  <c r="AT220" i="12"/>
  <c r="AU267" i="12"/>
  <c r="AT224" i="12"/>
  <c r="AT223" i="12"/>
  <c r="AT149" i="12"/>
  <c r="AT228" i="12"/>
  <c r="AT246" i="12"/>
  <c r="AX219" i="12"/>
  <c r="AX224" i="12"/>
  <c r="AX148" i="12"/>
  <c r="AX150" i="12"/>
  <c r="AY267" i="12"/>
  <c r="AX223" i="12"/>
  <c r="AX246" i="12"/>
  <c r="AX220" i="12"/>
  <c r="AX149" i="12"/>
  <c r="AX227" i="12"/>
  <c r="AX228" i="12"/>
  <c r="F147" i="12"/>
  <c r="J147" i="12"/>
  <c r="N147" i="12"/>
  <c r="G268" i="12"/>
  <c r="K268" i="12"/>
  <c r="O268" i="12"/>
  <c r="S268" i="12"/>
  <c r="W268" i="12"/>
  <c r="AA268" i="12"/>
  <c r="AE268" i="12"/>
  <c r="AI268" i="12"/>
  <c r="AM268" i="12"/>
  <c r="AQ268" i="12"/>
  <c r="AU268" i="12"/>
  <c r="AY268" i="12"/>
  <c r="N151" i="12"/>
  <c r="R151" i="12"/>
  <c r="V151" i="12"/>
  <c r="AD151" i="12"/>
  <c r="AH151" i="12"/>
  <c r="AL151" i="12"/>
  <c r="AP151" i="12"/>
  <c r="AT151" i="12"/>
  <c r="AX151" i="12"/>
  <c r="F230" i="12"/>
  <c r="G269" i="12"/>
  <c r="K269" i="12"/>
  <c r="J230" i="12"/>
  <c r="N155" i="12"/>
  <c r="O269" i="12"/>
  <c r="N230" i="12"/>
  <c r="N154" i="12"/>
  <c r="N153" i="12"/>
  <c r="N152" i="12"/>
  <c r="R230" i="12"/>
  <c r="R154" i="12"/>
  <c r="R152" i="12"/>
  <c r="S269" i="12"/>
  <c r="R153" i="12"/>
  <c r="R155" i="12"/>
  <c r="V153" i="12"/>
  <c r="V152" i="12"/>
  <c r="V230" i="12"/>
  <c r="V155" i="12"/>
  <c r="W269" i="12"/>
  <c r="V154" i="12"/>
  <c r="Z153" i="12"/>
  <c r="Z230" i="12"/>
  <c r="Z155" i="12"/>
  <c r="AA269" i="12"/>
  <c r="AE269" i="12"/>
  <c r="AD153" i="12"/>
  <c r="AD154" i="12"/>
  <c r="AD155" i="12"/>
  <c r="AD152" i="12"/>
  <c r="AD230" i="12"/>
  <c r="AH154" i="12"/>
  <c r="AH153" i="12"/>
  <c r="AI269" i="12"/>
  <c r="AH155" i="12"/>
  <c r="AH230" i="12"/>
  <c r="AH152" i="12"/>
  <c r="AL154" i="12"/>
  <c r="AL153" i="12"/>
  <c r="AL155" i="12"/>
  <c r="AM269" i="12"/>
  <c r="AL230" i="12"/>
  <c r="AL152" i="12"/>
  <c r="AQ269" i="12"/>
  <c r="AP153" i="12"/>
  <c r="AP155" i="12"/>
  <c r="AP230" i="12"/>
  <c r="AT153" i="12"/>
  <c r="AU269" i="12"/>
  <c r="AT155" i="12"/>
  <c r="AT230" i="12"/>
  <c r="AX153" i="12"/>
  <c r="AX155" i="12"/>
  <c r="AX230" i="12"/>
  <c r="AY269" i="12"/>
  <c r="AX152" i="12"/>
  <c r="AX154" i="12"/>
  <c r="G270" i="12"/>
  <c r="K270" i="12"/>
  <c r="AV256" i="12"/>
  <c r="AE256" i="12"/>
  <c r="AC256" i="12"/>
  <c r="AR256" i="12"/>
  <c r="AI256" i="12"/>
  <c r="O270" i="12"/>
  <c r="BA256" i="12"/>
  <c r="AF256" i="12"/>
  <c r="AB256" i="12"/>
  <c r="N256" i="12"/>
  <c r="U256" i="12"/>
  <c r="Q256" i="12"/>
  <c r="AT256" i="12"/>
  <c r="R256" i="12"/>
  <c r="AY256" i="12"/>
  <c r="V256" i="12"/>
  <c r="W256" i="12"/>
  <c r="AS256" i="12"/>
  <c r="AD256" i="12"/>
  <c r="AO256" i="12"/>
  <c r="AQ256" i="12"/>
  <c r="AH256" i="12"/>
  <c r="AA256" i="12"/>
  <c r="S256" i="12"/>
  <c r="P256" i="12"/>
  <c r="Y256" i="12"/>
  <c r="AX256" i="12"/>
  <c r="AL256" i="12"/>
  <c r="AZ256" i="12"/>
  <c r="AG256" i="12"/>
  <c r="AP256" i="12"/>
  <c r="AU256" i="12"/>
  <c r="X256" i="12"/>
  <c r="Z256" i="12"/>
  <c r="O256" i="12"/>
  <c r="AK256" i="12"/>
  <c r="AM256" i="12"/>
  <c r="AW256" i="12"/>
  <c r="AN256" i="12"/>
  <c r="AJ256" i="12"/>
  <c r="T256" i="12"/>
  <c r="S270" i="12"/>
  <c r="W270" i="12"/>
  <c r="AA270" i="12"/>
  <c r="AE270" i="12"/>
  <c r="AI270" i="12"/>
  <c r="AM270" i="12"/>
  <c r="AQ270" i="12"/>
  <c r="AU270" i="12"/>
  <c r="AY270" i="12"/>
  <c r="F207" i="12"/>
  <c r="J207" i="12"/>
  <c r="AF257" i="12"/>
  <c r="O257" i="12"/>
  <c r="Y257" i="12"/>
  <c r="AJ257" i="12"/>
  <c r="P257" i="12"/>
  <c r="N207" i="12"/>
  <c r="S257" i="12"/>
  <c r="AO257" i="12"/>
  <c r="W257" i="12"/>
  <c r="Q257" i="12"/>
  <c r="X257" i="12"/>
  <c r="R257" i="12"/>
  <c r="V257" i="12"/>
  <c r="T257" i="12"/>
  <c r="N257" i="12"/>
  <c r="AI257" i="12"/>
  <c r="U257" i="12"/>
  <c r="AL257" i="12"/>
  <c r="R207" i="12"/>
  <c r="V207" i="12"/>
  <c r="AD207" i="12"/>
  <c r="AH207" i="12"/>
  <c r="AL207" i="12"/>
  <c r="AX207" i="12"/>
  <c r="F232" i="12"/>
  <c r="F231" i="12"/>
  <c r="G271" i="12"/>
  <c r="J231" i="12"/>
  <c r="J232" i="12"/>
  <c r="N231" i="12"/>
  <c r="N232" i="12"/>
  <c r="V232" i="12"/>
  <c r="W271" i="12"/>
  <c r="V231" i="12"/>
  <c r="Z232" i="12"/>
  <c r="Z231" i="12"/>
  <c r="AA271" i="12"/>
  <c r="AD232" i="12"/>
  <c r="AE271" i="12"/>
  <c r="AD231" i="12"/>
  <c r="AH231" i="12"/>
  <c r="AH232" i="12"/>
  <c r="AI271" i="12"/>
  <c r="AL231" i="12"/>
  <c r="AL232" i="12"/>
  <c r="AM271" i="12"/>
  <c r="AP232" i="12"/>
  <c r="AP231" i="12"/>
  <c r="AQ271" i="12"/>
  <c r="AT232" i="12"/>
  <c r="AT231" i="12"/>
  <c r="AU271" i="12"/>
  <c r="AX232" i="12"/>
  <c r="AX231" i="12"/>
  <c r="AY271" i="12"/>
  <c r="G272" i="12"/>
  <c r="F198" i="12"/>
  <c r="F233" i="12"/>
  <c r="F234" i="12"/>
  <c r="J234" i="12"/>
  <c r="J198" i="12"/>
  <c r="J233" i="12"/>
  <c r="K272" i="12"/>
  <c r="N161" i="12"/>
  <c r="N251" i="12"/>
  <c r="AA251" i="12"/>
  <c r="AQ251" i="12"/>
  <c r="Y251" i="12"/>
  <c r="N234" i="12"/>
  <c r="AJ251" i="12"/>
  <c r="N159" i="12"/>
  <c r="AD251" i="12"/>
  <c r="N233" i="12"/>
  <c r="U251" i="12"/>
  <c r="N157" i="12"/>
  <c r="R251" i="12"/>
  <c r="W251" i="12"/>
  <c r="AK251" i="12"/>
  <c r="AN251" i="12"/>
  <c r="O251" i="12"/>
  <c r="N160" i="12"/>
  <c r="AO251" i="12"/>
  <c r="N162" i="12"/>
  <c r="P251" i="12"/>
  <c r="AR251" i="12"/>
  <c r="AS251" i="12"/>
  <c r="AP251" i="12"/>
  <c r="S251" i="12"/>
  <c r="AI251" i="12"/>
  <c r="AG251" i="12"/>
  <c r="AZ251" i="12"/>
  <c r="AU251" i="12"/>
  <c r="N198" i="12"/>
  <c r="AT251" i="12"/>
  <c r="N158" i="12"/>
  <c r="AF251" i="12"/>
  <c r="O272" i="12"/>
  <c r="N156" i="12"/>
  <c r="AW251" i="12"/>
  <c r="AY251" i="12"/>
  <c r="AX251" i="12"/>
  <c r="AV251" i="12"/>
  <c r="AM251" i="12"/>
  <c r="AE251" i="12"/>
  <c r="AB251" i="12"/>
  <c r="AC251" i="12"/>
  <c r="AH251" i="12"/>
  <c r="Q251" i="12"/>
  <c r="BA251" i="12"/>
  <c r="T251" i="12"/>
  <c r="AL251" i="12"/>
  <c r="Z251" i="12"/>
  <c r="V251" i="12"/>
  <c r="X251" i="12"/>
  <c r="R156" i="12"/>
  <c r="R198" i="12"/>
  <c r="R233" i="12"/>
  <c r="R162" i="12"/>
  <c r="R160" i="12"/>
  <c r="S272" i="12"/>
  <c r="R158" i="12"/>
  <c r="R234" i="12"/>
  <c r="R159" i="12"/>
  <c r="R157" i="12"/>
  <c r="R161" i="12"/>
  <c r="W272" i="12"/>
  <c r="V157" i="12"/>
  <c r="V162" i="12"/>
  <c r="V156" i="12"/>
  <c r="V233" i="12"/>
  <c r="V161" i="12"/>
  <c r="V160" i="12"/>
  <c r="V198" i="12"/>
  <c r="V158" i="12"/>
  <c r="V234" i="12"/>
  <c r="V159" i="12"/>
  <c r="Z161" i="12"/>
  <c r="Z158" i="12"/>
  <c r="Z233" i="12"/>
  <c r="AA272" i="12"/>
  <c r="Z198" i="12"/>
  <c r="Z162" i="12"/>
  <c r="Z160" i="12"/>
  <c r="Z159" i="12"/>
  <c r="Z157" i="12"/>
  <c r="Z234" i="12"/>
  <c r="Z156" i="12"/>
  <c r="AD234" i="12"/>
  <c r="AD160" i="12"/>
  <c r="AD198" i="12"/>
  <c r="AD162" i="12"/>
  <c r="AD157" i="12"/>
  <c r="AE272" i="12"/>
  <c r="AD161" i="12"/>
  <c r="AD233" i="12"/>
  <c r="AD159" i="12"/>
  <c r="AD156" i="12"/>
  <c r="AH157" i="12"/>
  <c r="AH160" i="12"/>
  <c r="AI272" i="12"/>
  <c r="AH161" i="12"/>
  <c r="AH158" i="12"/>
  <c r="AH234" i="12"/>
  <c r="AH233" i="12"/>
  <c r="AH159" i="12"/>
  <c r="AH156" i="12"/>
  <c r="AH198" i="12"/>
  <c r="AH162" i="12"/>
  <c r="AM272" i="12"/>
  <c r="AL161" i="12"/>
  <c r="AL157" i="12"/>
  <c r="AL162" i="12"/>
  <c r="AL234" i="12"/>
  <c r="AL159" i="12"/>
  <c r="AL156" i="12"/>
  <c r="AL233" i="12"/>
  <c r="AL158" i="12"/>
  <c r="AL160" i="12"/>
  <c r="AL198" i="12"/>
  <c r="AP159" i="12"/>
  <c r="AP160" i="12"/>
  <c r="AP158" i="12"/>
  <c r="AP157" i="12"/>
  <c r="AP162" i="12"/>
  <c r="AP198" i="12"/>
  <c r="AP233" i="12"/>
  <c r="AP234" i="12"/>
  <c r="AQ272" i="12"/>
  <c r="AP161" i="12"/>
  <c r="AT160" i="12"/>
  <c r="AT157" i="12"/>
  <c r="AT198" i="12"/>
  <c r="AT234" i="12"/>
  <c r="AT158" i="12"/>
  <c r="AT233" i="12"/>
  <c r="AU272" i="12"/>
  <c r="AT162" i="12"/>
  <c r="AT161" i="12"/>
  <c r="AT156" i="12"/>
  <c r="AT159" i="12"/>
  <c r="AX234" i="12"/>
  <c r="AX161" i="12"/>
  <c r="AX156" i="12"/>
  <c r="AX198" i="12"/>
  <c r="AX159" i="12"/>
  <c r="AX233" i="12"/>
  <c r="AX158" i="12"/>
  <c r="AX162" i="12"/>
  <c r="AX160" i="12"/>
  <c r="AX157" i="12"/>
  <c r="AY272" i="12"/>
  <c r="G273" i="12"/>
  <c r="K273" i="12"/>
  <c r="O273" i="12"/>
  <c r="S273" i="12"/>
  <c r="W273" i="12"/>
  <c r="AA273" i="12"/>
  <c r="AE273" i="12"/>
  <c r="AI273" i="12"/>
  <c r="AM273" i="12"/>
  <c r="AQ273" i="12"/>
  <c r="AU273" i="12"/>
  <c r="AY273" i="12"/>
  <c r="G274" i="12"/>
  <c r="K274" i="12"/>
  <c r="N164" i="12"/>
  <c r="O274" i="12"/>
  <c r="N163" i="12"/>
  <c r="R164" i="12"/>
  <c r="R163" i="12"/>
  <c r="S274" i="12"/>
  <c r="V163" i="12"/>
  <c r="V164" i="12"/>
  <c r="W274" i="12"/>
  <c r="Z163" i="12"/>
  <c r="Z164" i="12"/>
  <c r="AA274" i="12"/>
  <c r="AE274" i="12"/>
  <c r="AD164" i="12"/>
  <c r="AD163" i="12"/>
  <c r="AH164" i="12"/>
  <c r="AI274" i="12"/>
  <c r="AH163" i="12"/>
  <c r="AL164" i="12"/>
  <c r="AL163" i="12"/>
  <c r="AM274" i="12"/>
  <c r="AQ274" i="12"/>
  <c r="AT164" i="12"/>
  <c r="AT163" i="12"/>
  <c r="AU274" i="12"/>
  <c r="AX163" i="12"/>
  <c r="AX164" i="12"/>
  <c r="AY274" i="12"/>
  <c r="F205" i="12"/>
  <c r="G275" i="12"/>
  <c r="J205" i="12"/>
  <c r="K275" i="12"/>
  <c r="O275" i="12"/>
  <c r="N205" i="12"/>
  <c r="N165" i="12"/>
  <c r="R165" i="12"/>
  <c r="S275" i="12"/>
  <c r="R205" i="12"/>
  <c r="V205" i="12"/>
  <c r="V165" i="12"/>
  <c r="W275" i="12"/>
  <c r="Z205" i="12"/>
  <c r="AA275" i="12"/>
  <c r="Z165" i="12"/>
  <c r="AD205" i="12"/>
  <c r="AD165" i="12"/>
  <c r="AE275" i="12"/>
  <c r="AH165" i="12"/>
  <c r="AI275" i="12"/>
  <c r="AH205" i="12"/>
  <c r="AM275" i="12"/>
  <c r="AL205" i="12"/>
  <c r="AP165" i="12"/>
  <c r="AQ275" i="12"/>
  <c r="AP205" i="12"/>
  <c r="AT205" i="12"/>
  <c r="AT165" i="12"/>
  <c r="AU275" i="12"/>
  <c r="AY275" i="12"/>
  <c r="AX165" i="12"/>
  <c r="AX205" i="12"/>
  <c r="F239" i="12"/>
  <c r="G276" i="12"/>
  <c r="F208" i="12"/>
  <c r="F238" i="12"/>
  <c r="K276" i="12"/>
  <c r="J208" i="12"/>
  <c r="J239" i="12"/>
  <c r="J238" i="12"/>
  <c r="AW258" i="12"/>
  <c r="AB258" i="12"/>
  <c r="Q258" i="12"/>
  <c r="N167" i="12"/>
  <c r="AC258" i="12"/>
  <c r="BA258" i="12"/>
  <c r="N208" i="12"/>
  <c r="N168" i="12"/>
  <c r="AE258" i="12"/>
  <c r="O276" i="12"/>
  <c r="S258" i="12"/>
  <c r="Y258" i="12"/>
  <c r="N169" i="12"/>
  <c r="W258" i="12"/>
  <c r="P258" i="12"/>
  <c r="AN258" i="12"/>
  <c r="AV258" i="12"/>
  <c r="N258" i="12"/>
  <c r="X258" i="12"/>
  <c r="R258" i="12"/>
  <c r="AP258" i="12"/>
  <c r="AU258" i="12"/>
  <c r="Z258" i="12"/>
  <c r="T258" i="12"/>
  <c r="N239" i="12"/>
  <c r="AF258" i="12"/>
  <c r="AR258" i="12"/>
  <c r="V258" i="12"/>
  <c r="AZ258" i="12"/>
  <c r="AY258" i="12"/>
  <c r="AK258" i="12"/>
  <c r="AX258" i="12"/>
  <c r="AD258" i="12"/>
  <c r="AQ258" i="12"/>
  <c r="U258" i="12"/>
  <c r="AS258" i="12"/>
  <c r="N238" i="12"/>
  <c r="N166" i="12"/>
  <c r="AH258" i="12"/>
  <c r="AO258" i="12"/>
  <c r="AJ258" i="12"/>
  <c r="AG258" i="12"/>
  <c r="AA258" i="12"/>
  <c r="AL258" i="12"/>
  <c r="AI258" i="12"/>
  <c r="AT258" i="12"/>
  <c r="O258" i="12"/>
  <c r="AM258" i="12"/>
  <c r="R239" i="12"/>
  <c r="R238" i="12"/>
  <c r="S276" i="12"/>
  <c r="R167" i="12"/>
  <c r="R169" i="12"/>
  <c r="R166" i="12"/>
  <c r="R168" i="12"/>
  <c r="R208" i="12"/>
  <c r="V168" i="12"/>
  <c r="V166" i="12"/>
  <c r="V238" i="12"/>
  <c r="W276" i="12"/>
  <c r="V239" i="12"/>
  <c r="V167" i="12"/>
  <c r="V169" i="12"/>
  <c r="V208" i="12"/>
  <c r="Z167" i="12"/>
  <c r="Z169" i="12"/>
  <c r="Z208" i="12"/>
  <c r="Z239" i="12"/>
  <c r="Z166" i="12"/>
  <c r="AA276" i="12"/>
  <c r="Z238" i="12"/>
  <c r="Z168" i="12"/>
  <c r="AD168" i="12"/>
  <c r="AD208" i="12"/>
  <c r="AE276" i="12"/>
  <c r="AD238" i="12"/>
  <c r="AD239" i="12"/>
  <c r="AD169" i="12"/>
  <c r="AD167" i="12"/>
  <c r="AD166" i="12"/>
  <c r="AH169" i="12"/>
  <c r="AH166" i="12"/>
  <c r="AH208" i="12"/>
  <c r="AH238" i="12"/>
  <c r="AH168" i="12"/>
  <c r="AH167" i="12"/>
  <c r="AI276" i="12"/>
  <c r="AH239" i="12"/>
  <c r="AM276" i="12"/>
  <c r="AL166" i="12"/>
  <c r="AL168" i="12"/>
  <c r="AL238" i="12"/>
  <c r="AL167" i="12"/>
  <c r="AL239" i="12"/>
  <c r="AP238" i="12"/>
  <c r="AP169" i="12"/>
  <c r="AP167" i="12"/>
  <c r="AP166" i="12"/>
  <c r="AQ276" i="12"/>
  <c r="AP168" i="12"/>
  <c r="AP208" i="12"/>
  <c r="AP239" i="12"/>
  <c r="AT168" i="12"/>
  <c r="AU276" i="12"/>
  <c r="AT238" i="12"/>
  <c r="AT208" i="12"/>
  <c r="AT167" i="12"/>
  <c r="AT239" i="12"/>
  <c r="AT169" i="12"/>
  <c r="AT166" i="12"/>
  <c r="AX166" i="12"/>
  <c r="AX168" i="12"/>
  <c r="AY276" i="12"/>
  <c r="AX169" i="12"/>
  <c r="AX239" i="12"/>
  <c r="AX208" i="12"/>
  <c r="AX238" i="12"/>
  <c r="AX167" i="12"/>
  <c r="N170" i="12"/>
  <c r="R170" i="12"/>
  <c r="V170" i="12"/>
  <c r="Z170" i="12"/>
  <c r="AD170" i="12"/>
  <c r="AH170" i="12"/>
  <c r="AL170" i="12"/>
  <c r="AP170" i="12"/>
  <c r="AT170" i="12"/>
  <c r="AX170" i="12"/>
  <c r="N144" i="12"/>
  <c r="N145" i="12"/>
  <c r="N146" i="12"/>
  <c r="R145" i="12"/>
  <c r="R144" i="12"/>
  <c r="W145" i="12"/>
  <c r="W146" i="12"/>
  <c r="W144" i="12"/>
  <c r="AE146" i="12"/>
  <c r="AE144" i="12"/>
  <c r="AE145" i="12"/>
  <c r="AM145" i="12"/>
  <c r="AM144" i="12"/>
  <c r="AM146" i="12"/>
  <c r="AU146" i="12"/>
  <c r="AU145" i="12"/>
  <c r="AU144" i="12"/>
  <c r="G217" i="12"/>
  <c r="O217" i="12"/>
  <c r="W217" i="12"/>
  <c r="AE217" i="12"/>
  <c r="AM217" i="12"/>
  <c r="AU217" i="12"/>
  <c r="G211" i="12"/>
  <c r="O211" i="12"/>
  <c r="O171" i="12"/>
  <c r="W211" i="12"/>
  <c r="W171" i="12"/>
  <c r="AE211" i="12"/>
  <c r="AE171" i="12"/>
  <c r="AM171" i="12"/>
  <c r="AM211" i="12"/>
  <c r="AU171" i="12"/>
  <c r="AU211" i="12"/>
  <c r="G199" i="12"/>
  <c r="O199" i="12"/>
  <c r="O172" i="12"/>
  <c r="W199" i="12"/>
  <c r="W172" i="12"/>
  <c r="AE172" i="12"/>
  <c r="AE199" i="12"/>
  <c r="AM199" i="12"/>
  <c r="AM172" i="12"/>
  <c r="AU199" i="12"/>
  <c r="AU172" i="12"/>
  <c r="O173" i="12"/>
  <c r="W173" i="12"/>
  <c r="AE173" i="12"/>
  <c r="AM173" i="12"/>
  <c r="AU173" i="12"/>
  <c r="O174" i="12"/>
  <c r="W174" i="12"/>
  <c r="AE174" i="12"/>
  <c r="AM174" i="12"/>
  <c r="AU174" i="12"/>
  <c r="G200" i="12"/>
  <c r="O200" i="12"/>
  <c r="O175" i="12"/>
  <c r="W175" i="12"/>
  <c r="W200" i="12"/>
  <c r="AE175" i="12"/>
  <c r="AE200" i="12"/>
  <c r="AM200" i="12"/>
  <c r="AM175" i="12"/>
  <c r="AU200" i="12"/>
  <c r="AU175" i="12"/>
  <c r="G244" i="12"/>
  <c r="G240" i="12"/>
  <c r="G202" i="12"/>
  <c r="W240" i="12"/>
  <c r="W244" i="12"/>
  <c r="W176" i="12"/>
  <c r="W177" i="12"/>
  <c r="W202" i="12"/>
  <c r="W178" i="12"/>
  <c r="AM202" i="12"/>
  <c r="AM178" i="12"/>
  <c r="AM177" i="12"/>
  <c r="AM176" i="12"/>
  <c r="AM240" i="12"/>
  <c r="AM244" i="12"/>
  <c r="X179" i="12"/>
  <c r="AT179" i="12"/>
  <c r="Z181" i="12"/>
  <c r="AP209" i="12"/>
  <c r="J237" i="12"/>
  <c r="K278" i="12"/>
  <c r="AA280" i="12"/>
  <c r="Z247" i="12"/>
  <c r="AP136" i="12"/>
  <c r="AQ281" i="12"/>
  <c r="AM283" i="12"/>
  <c r="AL183" i="12"/>
  <c r="G287" i="12"/>
  <c r="G197" i="12"/>
  <c r="G216" i="12"/>
  <c r="G218" i="12"/>
  <c r="G242" i="12"/>
  <c r="G229" i="12"/>
  <c r="G226" i="12"/>
  <c r="G245" i="12"/>
  <c r="H266" i="12"/>
  <c r="M266" i="12"/>
  <c r="K218" i="12"/>
  <c r="K226" i="12"/>
  <c r="K197" i="12"/>
  <c r="K245" i="12"/>
  <c r="K242" i="12"/>
  <c r="L266" i="12"/>
  <c r="K229" i="12"/>
  <c r="O226" i="12"/>
  <c r="O218" i="12"/>
  <c r="O123" i="12"/>
  <c r="O245" i="12"/>
  <c r="O242" i="12"/>
  <c r="O124" i="12"/>
  <c r="O197" i="12"/>
  <c r="O126" i="12"/>
  <c r="P266" i="12"/>
  <c r="O125" i="12"/>
  <c r="O229" i="12"/>
  <c r="S123" i="12"/>
  <c r="S125" i="12"/>
  <c r="S137" i="12"/>
  <c r="S59" i="17" s="1"/>
  <c r="S124" i="12"/>
  <c r="S197" i="12"/>
  <c r="S126" i="12"/>
  <c r="S245" i="12"/>
  <c r="S226" i="12"/>
  <c r="S229" i="12"/>
  <c r="S242" i="12"/>
  <c r="T266" i="12"/>
  <c r="W126" i="12"/>
  <c r="W197" i="12"/>
  <c r="W216" i="12"/>
  <c r="W226" i="12"/>
  <c r="W242" i="12"/>
  <c r="X266" i="12"/>
  <c r="W123" i="12"/>
  <c r="W124" i="12"/>
  <c r="W125" i="12"/>
  <c r="W245" i="12"/>
  <c r="W229" i="12"/>
  <c r="AA123" i="12"/>
  <c r="AA124" i="12"/>
  <c r="AB266" i="12"/>
  <c r="AA197" i="12"/>
  <c r="AA242" i="12"/>
  <c r="AA137" i="12"/>
  <c r="AA59" i="17" s="1"/>
  <c r="AA229" i="12"/>
  <c r="AA218" i="12"/>
  <c r="AA226" i="12"/>
  <c r="AA216" i="12"/>
  <c r="AA245" i="12"/>
  <c r="AA126" i="12"/>
  <c r="AA125" i="12"/>
  <c r="AA128" i="12"/>
  <c r="AE245" i="12"/>
  <c r="AE197" i="12"/>
  <c r="AF266" i="12"/>
  <c r="AE126" i="12"/>
  <c r="AE226" i="12"/>
  <c r="AE218" i="12"/>
  <c r="AE229" i="12"/>
  <c r="AE242" i="12"/>
  <c r="AE137" i="12"/>
  <c r="AE59" i="17" s="1"/>
  <c r="AE123" i="12"/>
  <c r="AE216" i="12"/>
  <c r="AE125" i="12"/>
  <c r="AE127" i="12"/>
  <c r="AE124" i="12"/>
  <c r="AE128" i="12"/>
  <c r="AI229" i="12"/>
  <c r="AI123" i="12"/>
  <c r="AI125" i="12"/>
  <c r="AI242" i="12"/>
  <c r="AI126" i="12"/>
  <c r="AI127" i="12"/>
  <c r="AJ266" i="12"/>
  <c r="AI124" i="12"/>
  <c r="AI197" i="12"/>
  <c r="AI137" i="12"/>
  <c r="AI59" i="17" s="1"/>
  <c r="AI245" i="12"/>
  <c r="AI216" i="12"/>
  <c r="AI226" i="12"/>
  <c r="AI218" i="12"/>
  <c r="AM123" i="12"/>
  <c r="AM226" i="12"/>
  <c r="AM125" i="12"/>
  <c r="AM242" i="12"/>
  <c r="AM216" i="12"/>
  <c r="AM126" i="12"/>
  <c r="AN266" i="12"/>
  <c r="AM229" i="12"/>
  <c r="AM245" i="12"/>
  <c r="AM197" i="12"/>
  <c r="AM218" i="12"/>
  <c r="AM124" i="12"/>
  <c r="AM128" i="12"/>
  <c r="AM137" i="12"/>
  <c r="AM59" i="17" s="1"/>
  <c r="AM127" i="12"/>
  <c r="AQ126" i="12"/>
  <c r="AR266" i="12"/>
  <c r="AQ245" i="12"/>
  <c r="AQ229" i="12"/>
  <c r="AQ218" i="12"/>
  <c r="AQ123" i="12"/>
  <c r="AQ124" i="12"/>
  <c r="AQ226" i="12"/>
  <c r="AQ137" i="12"/>
  <c r="AQ125" i="12"/>
  <c r="AQ127" i="12"/>
  <c r="AQ197" i="12"/>
  <c r="AQ216" i="12"/>
  <c r="AQ242" i="12"/>
  <c r="AQ128" i="12"/>
  <c r="AU229" i="12"/>
  <c r="AU216" i="12"/>
  <c r="AV266" i="12"/>
  <c r="AU197" i="12"/>
  <c r="AU137" i="12"/>
  <c r="AU242" i="12"/>
  <c r="AU245" i="12"/>
  <c r="AU125" i="12"/>
  <c r="AU126" i="12"/>
  <c r="AU123" i="12"/>
  <c r="AU127" i="12"/>
  <c r="AU226" i="12"/>
  <c r="AU218" i="12"/>
  <c r="AU124" i="12"/>
  <c r="AU128" i="12"/>
  <c r="AY197" i="12"/>
  <c r="AY137" i="12"/>
  <c r="AY245" i="12"/>
  <c r="AY226" i="12"/>
  <c r="AZ266" i="12"/>
  <c r="AY229" i="12"/>
  <c r="AY216" i="12"/>
  <c r="AY124" i="12"/>
  <c r="AY125" i="12"/>
  <c r="AY126" i="12"/>
  <c r="AY127" i="12"/>
  <c r="AY123" i="12"/>
  <c r="AY242" i="12"/>
  <c r="AY218" i="12"/>
  <c r="AY128" i="12"/>
  <c r="G228" i="12"/>
  <c r="G227" i="12"/>
  <c r="G220" i="12"/>
  <c r="G219" i="12"/>
  <c r="G246" i="12"/>
  <c r="H267" i="12"/>
  <c r="K220" i="12"/>
  <c r="K246" i="12"/>
  <c r="K227" i="12"/>
  <c r="M267" i="12"/>
  <c r="L267" i="12"/>
  <c r="K228" i="12"/>
  <c r="K219" i="12"/>
  <c r="O223" i="12"/>
  <c r="O150" i="12"/>
  <c r="O227" i="12"/>
  <c r="O219" i="12"/>
  <c r="O149" i="12"/>
  <c r="P267" i="12"/>
  <c r="O220" i="12"/>
  <c r="O246" i="12"/>
  <c r="O224" i="12"/>
  <c r="S228" i="12"/>
  <c r="S223" i="12"/>
  <c r="S224" i="12"/>
  <c r="S150" i="12"/>
  <c r="S220" i="12"/>
  <c r="S148" i="12"/>
  <c r="S219" i="12"/>
  <c r="S246" i="12"/>
  <c r="S227" i="12"/>
  <c r="T267" i="12"/>
  <c r="S149" i="12"/>
  <c r="W150" i="12"/>
  <c r="W148" i="12"/>
  <c r="W219" i="12"/>
  <c r="X267" i="12"/>
  <c r="W228" i="12"/>
  <c r="W227" i="12"/>
  <c r="W246" i="12"/>
  <c r="W220" i="12"/>
  <c r="W223" i="12"/>
  <c r="W149" i="12"/>
  <c r="W224" i="12"/>
  <c r="AA220" i="12"/>
  <c r="AA227" i="12"/>
  <c r="AA228" i="12"/>
  <c r="AA224" i="12"/>
  <c r="AA149" i="12"/>
  <c r="AA219" i="12"/>
  <c r="AA223" i="12"/>
  <c r="AA148" i="12"/>
  <c r="AA246" i="12"/>
  <c r="AA150" i="12"/>
  <c r="AB267" i="12"/>
  <c r="AE219" i="12"/>
  <c r="AF267" i="12"/>
  <c r="AE246" i="12"/>
  <c r="AE148" i="12"/>
  <c r="AE223" i="12"/>
  <c r="AE228" i="12"/>
  <c r="AE150" i="12"/>
  <c r="AE224" i="12"/>
  <c r="AE227" i="12"/>
  <c r="AE149" i="12"/>
  <c r="AE220" i="12"/>
  <c r="AI150" i="12"/>
  <c r="AI149" i="12"/>
  <c r="AI246" i="12"/>
  <c r="AI223" i="12"/>
  <c r="AJ267" i="12"/>
  <c r="AI148" i="12"/>
  <c r="AI228" i="12"/>
  <c r="AI219" i="12"/>
  <c r="AI227" i="12"/>
  <c r="AI224" i="12"/>
  <c r="AI220" i="12"/>
  <c r="AM228" i="12"/>
  <c r="AM246" i="12"/>
  <c r="AM224" i="12"/>
  <c r="AM227" i="12"/>
  <c r="AM148" i="12"/>
  <c r="AM150" i="12"/>
  <c r="AM219" i="12"/>
  <c r="AN267" i="12"/>
  <c r="AM220" i="12"/>
  <c r="AM223" i="12"/>
  <c r="AM149" i="12"/>
  <c r="AQ224" i="12"/>
  <c r="AQ220" i="12"/>
  <c r="AQ223" i="12"/>
  <c r="AQ246" i="12"/>
  <c r="AQ219" i="12"/>
  <c r="AQ148" i="12"/>
  <c r="AQ228" i="12"/>
  <c r="AQ150" i="12"/>
  <c r="AQ149" i="12"/>
  <c r="AQ227" i="12"/>
  <c r="AR267" i="12"/>
  <c r="AU150" i="12"/>
  <c r="AU228" i="12"/>
  <c r="AV267" i="12"/>
  <c r="AU227" i="12"/>
  <c r="AU220" i="12"/>
  <c r="AU219" i="12"/>
  <c r="AU223" i="12"/>
  <c r="AU224" i="12"/>
  <c r="AU149" i="12"/>
  <c r="AU148" i="12"/>
  <c r="AU246" i="12"/>
  <c r="AY224" i="12"/>
  <c r="AY227" i="12"/>
  <c r="AY149" i="12"/>
  <c r="AY150" i="12"/>
  <c r="AY148" i="12"/>
  <c r="AY228" i="12"/>
  <c r="AY220" i="12"/>
  <c r="AZ267" i="12"/>
  <c r="AY219" i="12"/>
  <c r="AY246" i="12"/>
  <c r="AY223" i="12"/>
  <c r="G147" i="12"/>
  <c r="K147" i="12"/>
  <c r="H268" i="12"/>
  <c r="M268" i="12"/>
  <c r="L268" i="12"/>
  <c r="P268" i="12"/>
  <c r="T268" i="12"/>
  <c r="X268" i="12"/>
  <c r="AB268" i="12"/>
  <c r="AF268" i="12"/>
  <c r="AJ268" i="12"/>
  <c r="AN268" i="12"/>
  <c r="AR268" i="12"/>
  <c r="AV268" i="12"/>
  <c r="AZ268" i="12"/>
  <c r="O151" i="12"/>
  <c r="S151" i="12"/>
  <c r="W151" i="12"/>
  <c r="AA151" i="12"/>
  <c r="AE151" i="12"/>
  <c r="AI151" i="12"/>
  <c r="AM151" i="12"/>
  <c r="AQ151" i="12"/>
  <c r="AU151" i="12"/>
  <c r="AY151" i="12"/>
  <c r="H269" i="12"/>
  <c r="G230" i="12"/>
  <c r="M269" i="12"/>
  <c r="L269" i="12"/>
  <c r="K230" i="12"/>
  <c r="O154" i="12"/>
  <c r="O155" i="12"/>
  <c r="P269" i="12"/>
  <c r="O152" i="12"/>
  <c r="O153" i="12"/>
  <c r="O230" i="12"/>
  <c r="S153" i="12"/>
  <c r="S152" i="12"/>
  <c r="S230" i="12"/>
  <c r="S154" i="12"/>
  <c r="T269" i="12"/>
  <c r="S155" i="12"/>
  <c r="W230" i="12"/>
  <c r="W154" i="12"/>
  <c r="W155" i="12"/>
  <c r="X269" i="12"/>
  <c r="W152" i="12"/>
  <c r="W153" i="12"/>
  <c r="AA153" i="12"/>
  <c r="AA230" i="12"/>
  <c r="AA155" i="12"/>
  <c r="AA152" i="12"/>
  <c r="AB269" i="12"/>
  <c r="AA154" i="12"/>
  <c r="AE155" i="12"/>
  <c r="AE153" i="12"/>
  <c r="AF269" i="12"/>
  <c r="AE154" i="12"/>
  <c r="AE230" i="12"/>
  <c r="AE152" i="12"/>
  <c r="AI155" i="12"/>
  <c r="AI230" i="12"/>
  <c r="AI154" i="12"/>
  <c r="AJ269" i="12"/>
  <c r="AI152" i="12"/>
  <c r="AI153" i="12"/>
  <c r="AM230" i="12"/>
  <c r="AN269" i="12"/>
  <c r="AM152" i="12"/>
  <c r="AM154" i="12"/>
  <c r="AM153" i="12"/>
  <c r="AM155" i="12"/>
  <c r="AQ153" i="12"/>
  <c r="AQ155" i="12"/>
  <c r="AQ154" i="12"/>
  <c r="AQ230" i="12"/>
  <c r="AR269" i="12"/>
  <c r="AU152" i="12"/>
  <c r="AU155" i="12"/>
  <c r="AU154" i="12"/>
  <c r="AU230" i="12"/>
  <c r="AV269" i="12"/>
  <c r="AU153" i="12"/>
  <c r="AY155" i="12"/>
  <c r="AY152" i="12"/>
  <c r="AY154" i="12"/>
  <c r="AZ269" i="12"/>
  <c r="AY153" i="12"/>
  <c r="AY230" i="12"/>
  <c r="H270" i="12"/>
  <c r="L270" i="12"/>
  <c r="M270" i="12"/>
  <c r="P270" i="12"/>
  <c r="T270" i="12"/>
  <c r="X270" i="12"/>
  <c r="AB270" i="12"/>
  <c r="AF270" i="12"/>
  <c r="AJ270" i="12"/>
  <c r="AN270" i="12"/>
  <c r="AR270" i="12"/>
  <c r="AV270" i="12"/>
  <c r="AZ270" i="12"/>
  <c r="G207" i="12"/>
  <c r="K207" i="12"/>
  <c r="O207" i="12"/>
  <c r="S207" i="12"/>
  <c r="W207" i="12"/>
  <c r="AA207" i="12"/>
  <c r="AE207" i="12"/>
  <c r="AI207" i="12"/>
  <c r="AM207" i="12"/>
  <c r="AU207" i="12"/>
  <c r="AY207" i="12"/>
  <c r="H271" i="12"/>
  <c r="G231" i="12"/>
  <c r="G232" i="12"/>
  <c r="M271" i="12"/>
  <c r="O231" i="12"/>
  <c r="S232" i="12"/>
  <c r="W232" i="12"/>
  <c r="AA231" i="12"/>
  <c r="AA232" i="12"/>
  <c r="AB271" i="12"/>
  <c r="AE231" i="12"/>
  <c r="AF271" i="12"/>
  <c r="AE232" i="12"/>
  <c r="AI232" i="12"/>
  <c r="AJ271" i="12"/>
  <c r="AI231" i="12"/>
  <c r="AM231" i="12"/>
  <c r="AM232" i="12"/>
  <c r="AN271" i="12"/>
  <c r="AQ231" i="12"/>
  <c r="AR271" i="12"/>
  <c r="AQ232" i="12"/>
  <c r="AU231" i="12"/>
  <c r="AV271" i="12"/>
  <c r="AU232" i="12"/>
  <c r="AY232" i="12"/>
  <c r="AY231" i="12"/>
  <c r="AZ271" i="12"/>
  <c r="H272" i="12"/>
  <c r="G233" i="12"/>
  <c r="G234" i="12"/>
  <c r="K198" i="12"/>
  <c r="K234" i="12"/>
  <c r="K233" i="12"/>
  <c r="L272" i="12"/>
  <c r="M272" i="12"/>
  <c r="O160" i="12"/>
  <c r="O161" i="12"/>
  <c r="O159" i="12"/>
  <c r="O162" i="12"/>
  <c r="O233" i="12"/>
  <c r="O157" i="12"/>
  <c r="O156" i="12"/>
  <c r="O198" i="12"/>
  <c r="O234" i="12"/>
  <c r="P272" i="12"/>
  <c r="O158" i="12"/>
  <c r="S159" i="12"/>
  <c r="S160" i="12"/>
  <c r="S156" i="12"/>
  <c r="S157" i="12"/>
  <c r="T272" i="12"/>
  <c r="S158" i="12"/>
  <c r="S234" i="12"/>
  <c r="S233" i="12"/>
  <c r="S161" i="12"/>
  <c r="S198" i="12"/>
  <c r="S162" i="12"/>
  <c r="X272" i="12"/>
  <c r="W161" i="12"/>
  <c r="W157" i="12"/>
  <c r="W159" i="12"/>
  <c r="W158" i="12"/>
  <c r="W198" i="12"/>
  <c r="W162" i="12"/>
  <c r="W234" i="12"/>
  <c r="W156" i="12"/>
  <c r="W233" i="12"/>
  <c r="W160" i="12"/>
  <c r="AA159" i="12"/>
  <c r="AA234" i="12"/>
  <c r="AA198" i="12"/>
  <c r="AA160" i="12"/>
  <c r="AA161" i="12"/>
  <c r="AA233" i="12"/>
  <c r="AB272" i="12"/>
  <c r="AA156" i="12"/>
  <c r="AA162" i="12"/>
  <c r="AA157" i="12"/>
  <c r="AA158" i="12"/>
  <c r="AE161" i="12"/>
  <c r="AE233" i="12"/>
  <c r="AE158" i="12"/>
  <c r="AE157" i="12"/>
  <c r="AE159" i="12"/>
  <c r="AE162" i="12"/>
  <c r="AE156" i="12"/>
  <c r="AE160" i="12"/>
  <c r="AF272" i="12"/>
  <c r="AE198" i="12"/>
  <c r="AE234" i="12"/>
  <c r="AI198" i="12"/>
  <c r="AJ272" i="12"/>
  <c r="AI156" i="12"/>
  <c r="AI157" i="12"/>
  <c r="AI159" i="12"/>
  <c r="AI234" i="12"/>
  <c r="AI160" i="12"/>
  <c r="AI161" i="12"/>
  <c r="AI233" i="12"/>
  <c r="AI158" i="12"/>
  <c r="AI162" i="12"/>
  <c r="AM160" i="12"/>
  <c r="AM161" i="12"/>
  <c r="AM234" i="12"/>
  <c r="AM159" i="12"/>
  <c r="AM158" i="12"/>
  <c r="AM157" i="12"/>
  <c r="AN272" i="12"/>
  <c r="AM233" i="12"/>
  <c r="AM156" i="12"/>
  <c r="AM198" i="12"/>
  <c r="AM162" i="12"/>
  <c r="AQ159" i="12"/>
  <c r="AQ234" i="12"/>
  <c r="AQ198" i="12"/>
  <c r="AQ160" i="12"/>
  <c r="AQ156" i="12"/>
  <c r="AQ157" i="12"/>
  <c r="AQ161" i="12"/>
  <c r="AQ233" i="12"/>
  <c r="AR272" i="12"/>
  <c r="AQ162" i="12"/>
  <c r="AQ158" i="12"/>
  <c r="AU160" i="12"/>
  <c r="AU158" i="12"/>
  <c r="AV272" i="12"/>
  <c r="AU159" i="12"/>
  <c r="AU233" i="12"/>
  <c r="AU198" i="12"/>
  <c r="AU157" i="12"/>
  <c r="AU156" i="12"/>
  <c r="AU161" i="12"/>
  <c r="AU234" i="12"/>
  <c r="AU162" i="12"/>
  <c r="AZ272" i="12"/>
  <c r="AY156" i="12"/>
  <c r="AY198" i="12"/>
  <c r="AY159" i="12"/>
  <c r="AY157" i="12"/>
  <c r="AY233" i="12"/>
  <c r="AY161" i="12"/>
  <c r="AY162" i="12"/>
  <c r="AY160" i="12"/>
  <c r="AY158" i="12"/>
  <c r="AY234" i="12"/>
  <c r="H273" i="12"/>
  <c r="M273" i="12"/>
  <c r="L273" i="12"/>
  <c r="P273" i="12"/>
  <c r="T273" i="12"/>
  <c r="X273" i="12"/>
  <c r="AB273" i="12"/>
  <c r="AF273" i="12"/>
  <c r="AJ273" i="12"/>
  <c r="AN273" i="12"/>
  <c r="AR273" i="12"/>
  <c r="AV273" i="12"/>
  <c r="AZ273" i="12"/>
  <c r="H274" i="12"/>
  <c r="L274" i="12"/>
  <c r="M274" i="12"/>
  <c r="P274" i="12"/>
  <c r="O163" i="12"/>
  <c r="O164" i="12"/>
  <c r="S163" i="12"/>
  <c r="S164" i="12"/>
  <c r="T274" i="12"/>
  <c r="W164" i="12"/>
  <c r="W163" i="12"/>
  <c r="X274" i="12"/>
  <c r="AA163" i="12"/>
  <c r="AA164" i="12"/>
  <c r="AB274" i="12"/>
  <c r="AE164" i="12"/>
  <c r="AE163" i="12"/>
  <c r="AF274" i="12"/>
  <c r="AI163" i="12"/>
  <c r="AI164" i="12"/>
  <c r="AJ274" i="12"/>
  <c r="AM163" i="12"/>
  <c r="AN274" i="12"/>
  <c r="AM164" i="12"/>
  <c r="AQ164" i="12"/>
  <c r="AQ163" i="12"/>
  <c r="AR274" i="12"/>
  <c r="AU164" i="12"/>
  <c r="AV274" i="12"/>
  <c r="AU163" i="12"/>
  <c r="AY163" i="12"/>
  <c r="AY164" i="12"/>
  <c r="AZ274" i="12"/>
  <c r="H275" i="12"/>
  <c r="G205" i="12"/>
  <c r="M275" i="12"/>
  <c r="L275" i="12"/>
  <c r="K205" i="12"/>
  <c r="O165" i="12"/>
  <c r="O205" i="12"/>
  <c r="P275" i="12"/>
  <c r="T275" i="12"/>
  <c r="S205" i="12"/>
  <c r="S165" i="12"/>
  <c r="X275" i="12"/>
  <c r="W165" i="12"/>
  <c r="W205" i="12"/>
  <c r="AA205" i="12"/>
  <c r="AB275" i="12"/>
  <c r="AA165" i="12"/>
  <c r="AE165" i="12"/>
  <c r="AE205" i="12"/>
  <c r="AF275" i="12"/>
  <c r="AI205" i="12"/>
  <c r="AJ275" i="12"/>
  <c r="AI165" i="12"/>
  <c r="AM165" i="12"/>
  <c r="AN275" i="12"/>
  <c r="AM205" i="12"/>
  <c r="AQ205" i="12"/>
  <c r="AR275" i="12"/>
  <c r="AQ165" i="12"/>
  <c r="AV275" i="12"/>
  <c r="AU165" i="12"/>
  <c r="AU205" i="12"/>
  <c r="AZ275" i="12"/>
  <c r="AY205" i="12"/>
  <c r="AY165" i="12"/>
  <c r="H276" i="12"/>
  <c r="G239" i="12"/>
  <c r="G238" i="12"/>
  <c r="L276" i="12"/>
  <c r="M276" i="12"/>
  <c r="K238" i="12"/>
  <c r="K239" i="12"/>
  <c r="K208" i="12"/>
  <c r="O169" i="12"/>
  <c r="O168" i="12"/>
  <c r="O208" i="12"/>
  <c r="P276" i="12"/>
  <c r="O166" i="12"/>
  <c r="O239" i="12"/>
  <c r="O167" i="12"/>
  <c r="O238" i="12"/>
  <c r="S238" i="12"/>
  <c r="S208" i="12"/>
  <c r="S167" i="12"/>
  <c r="S166" i="12"/>
  <c r="S239" i="12"/>
  <c r="S169" i="12"/>
  <c r="T276" i="12"/>
  <c r="S168" i="12"/>
  <c r="W166" i="12"/>
  <c r="W167" i="12"/>
  <c r="W169" i="12"/>
  <c r="W239" i="12"/>
  <c r="W168" i="12"/>
  <c r="X276" i="12"/>
  <c r="W208" i="12"/>
  <c r="W238" i="12"/>
  <c r="AB276" i="12"/>
  <c r="AA208" i="12"/>
  <c r="AA238" i="12"/>
  <c r="AA169" i="12"/>
  <c r="AA166" i="12"/>
  <c r="AA167" i="12"/>
  <c r="AA168" i="12"/>
  <c r="AA239" i="12"/>
  <c r="AE239" i="12"/>
  <c r="AE169" i="12"/>
  <c r="AE166" i="12"/>
  <c r="AE167" i="12"/>
  <c r="AE238" i="12"/>
  <c r="AE208" i="12"/>
  <c r="AE168" i="12"/>
  <c r="AF276" i="12"/>
  <c r="AJ276" i="12"/>
  <c r="AI166" i="12"/>
  <c r="AI239" i="12"/>
  <c r="AI169" i="12"/>
  <c r="AI208" i="12"/>
  <c r="AI168" i="12"/>
  <c r="AI167" i="12"/>
  <c r="AI238" i="12"/>
  <c r="AN276" i="12"/>
  <c r="AM239" i="12"/>
  <c r="AM167" i="12"/>
  <c r="AM168" i="12"/>
  <c r="AM166" i="12"/>
  <c r="AM169" i="12"/>
  <c r="AM208" i="12"/>
  <c r="AM238" i="12"/>
  <c r="AQ168" i="12"/>
  <c r="AQ239" i="12"/>
  <c r="AQ166" i="12"/>
  <c r="AQ208" i="12"/>
  <c r="AR276" i="12"/>
  <c r="AQ167" i="12"/>
  <c r="AQ169" i="12"/>
  <c r="AQ238" i="12"/>
  <c r="AU169" i="12"/>
  <c r="AU238" i="12"/>
  <c r="AU166" i="12"/>
  <c r="AU208" i="12"/>
  <c r="AU239" i="12"/>
  <c r="AU168" i="12"/>
  <c r="AV276" i="12"/>
  <c r="AU167" i="12"/>
  <c r="AY168" i="12"/>
  <c r="AY166" i="12"/>
  <c r="AY167" i="12"/>
  <c r="AY208" i="12"/>
  <c r="AY238" i="12"/>
  <c r="AZ276" i="12"/>
  <c r="AY239" i="12"/>
  <c r="AY169" i="12"/>
  <c r="O170" i="12"/>
  <c r="S170" i="12"/>
  <c r="W170" i="12"/>
  <c r="AA170" i="12"/>
  <c r="AE170" i="12"/>
  <c r="AI170" i="12"/>
  <c r="AM170" i="12"/>
  <c r="AQ170" i="12"/>
  <c r="AU170" i="12"/>
  <c r="AY170" i="12"/>
  <c r="O144" i="12"/>
  <c r="O145" i="12"/>
  <c r="O146" i="12"/>
  <c r="S144" i="12"/>
  <c r="S145" i="12"/>
  <c r="S146" i="12"/>
  <c r="X146" i="12"/>
  <c r="X144" i="12"/>
  <c r="X145" i="12"/>
  <c r="AF144" i="12"/>
  <c r="AF146" i="12"/>
  <c r="AF145" i="12"/>
  <c r="AN144" i="12"/>
  <c r="AN146" i="12"/>
  <c r="AN145" i="12"/>
  <c r="AV144" i="12"/>
  <c r="AV145" i="12"/>
  <c r="AV146" i="12"/>
  <c r="H217" i="12"/>
  <c r="P217" i="12"/>
  <c r="X217" i="12"/>
  <c r="AF217" i="12"/>
  <c r="AN217" i="12"/>
  <c r="AV217" i="12"/>
  <c r="H211" i="12"/>
  <c r="P211" i="12"/>
  <c r="P171" i="12"/>
  <c r="X211" i="12"/>
  <c r="X171" i="12"/>
  <c r="AF171" i="12"/>
  <c r="AF211" i="12"/>
  <c r="AN211" i="12"/>
  <c r="AN171" i="12"/>
  <c r="AV171" i="12"/>
  <c r="AV211" i="12"/>
  <c r="H199" i="12"/>
  <c r="P199" i="12"/>
  <c r="P172" i="12"/>
  <c r="X172" i="12"/>
  <c r="X199" i="12"/>
  <c r="AF172" i="12"/>
  <c r="AF199" i="12"/>
  <c r="AN199" i="12"/>
  <c r="AN172" i="12"/>
  <c r="AV199" i="12"/>
  <c r="AV172" i="12"/>
  <c r="X173" i="12"/>
  <c r="AF173" i="12"/>
  <c r="AN173" i="12"/>
  <c r="AV173" i="12"/>
  <c r="P174" i="12"/>
  <c r="X174" i="12"/>
  <c r="AF174" i="12"/>
  <c r="AN174" i="12"/>
  <c r="AV174" i="12"/>
  <c r="H200" i="12"/>
  <c r="P175" i="12"/>
  <c r="P200" i="12"/>
  <c r="X175" i="12"/>
  <c r="X200" i="12"/>
  <c r="AF175" i="12"/>
  <c r="AF200" i="12"/>
  <c r="AN175" i="12"/>
  <c r="AN200" i="12"/>
  <c r="AV200" i="12"/>
  <c r="AV175" i="12"/>
  <c r="K244" i="12"/>
  <c r="K240" i="12"/>
  <c r="K202" i="12"/>
  <c r="AA176" i="12"/>
  <c r="AA244" i="12"/>
  <c r="AA202" i="12"/>
  <c r="AA178" i="12"/>
  <c r="AA177" i="12"/>
  <c r="AA240" i="12"/>
  <c r="AQ202" i="12"/>
  <c r="AQ240" i="12"/>
  <c r="AQ177" i="12"/>
  <c r="AQ176" i="12"/>
  <c r="AQ178" i="12"/>
  <c r="AQ244" i="12"/>
  <c r="AD179" i="12"/>
  <c r="AP181" i="12"/>
  <c r="J236" i="12"/>
  <c r="K277" i="12"/>
  <c r="K138" i="12"/>
  <c r="J243" i="12"/>
  <c r="Z237" i="12"/>
  <c r="Z139" i="12"/>
  <c r="AA278" i="12"/>
  <c r="AP247" i="12"/>
  <c r="AQ280" i="12"/>
  <c r="R71" i="12"/>
  <c r="R67" i="17" s="1"/>
  <c r="R72" i="12"/>
  <c r="R68" i="17" s="1"/>
  <c r="V188" i="12"/>
  <c r="W288" i="12"/>
  <c r="H240" i="12"/>
  <c r="H244" i="12"/>
  <c r="H202" i="12"/>
  <c r="L240" i="12"/>
  <c r="L202" i="12"/>
  <c r="L244" i="12"/>
  <c r="P240" i="12"/>
  <c r="P176" i="12"/>
  <c r="P202" i="12"/>
  <c r="P177" i="12"/>
  <c r="P244" i="12"/>
  <c r="P178" i="12"/>
  <c r="T177" i="12"/>
  <c r="T202" i="12"/>
  <c r="T240" i="12"/>
  <c r="T178" i="12"/>
  <c r="T244" i="12"/>
  <c r="T176" i="12"/>
  <c r="X240" i="12"/>
  <c r="X176" i="12"/>
  <c r="X202" i="12"/>
  <c r="X244" i="12"/>
  <c r="X177" i="12"/>
  <c r="X178" i="12"/>
  <c r="AB176" i="12"/>
  <c r="AB202" i="12"/>
  <c r="AB177" i="12"/>
  <c r="AB178" i="12"/>
  <c r="AB244" i="12"/>
  <c r="AB240" i="12"/>
  <c r="AF244" i="12"/>
  <c r="AF177" i="12"/>
  <c r="AF178" i="12"/>
  <c r="AF176" i="12"/>
  <c r="AF240" i="12"/>
  <c r="AF202" i="12"/>
  <c r="AJ176" i="12"/>
  <c r="AJ202" i="12"/>
  <c r="AJ177" i="12"/>
  <c r="AJ244" i="12"/>
  <c r="AJ178" i="12"/>
  <c r="AJ240" i="12"/>
  <c r="AN176" i="12"/>
  <c r="AN178" i="12"/>
  <c r="AN240" i="12"/>
  <c r="AN177" i="12"/>
  <c r="AN202" i="12"/>
  <c r="AN244" i="12"/>
  <c r="AR176" i="12"/>
  <c r="AR202" i="12"/>
  <c r="AR177" i="12"/>
  <c r="AR178" i="12"/>
  <c r="AR244" i="12"/>
  <c r="AR240" i="12"/>
  <c r="AV177" i="12"/>
  <c r="AV176" i="12"/>
  <c r="AV202" i="12"/>
  <c r="AV178" i="12"/>
  <c r="AV244" i="12"/>
  <c r="AV240" i="12"/>
  <c r="AZ178" i="12"/>
  <c r="AZ177" i="12"/>
  <c r="AZ202" i="12"/>
  <c r="AZ244" i="12"/>
  <c r="AZ176" i="12"/>
  <c r="AZ240" i="12"/>
  <c r="P179" i="12"/>
  <c r="T179" i="12"/>
  <c r="Z179" i="12"/>
  <c r="AE179" i="12"/>
  <c r="AJ179" i="12"/>
  <c r="AP179" i="12"/>
  <c r="AU179" i="12"/>
  <c r="R181" i="12"/>
  <c r="AD181" i="12"/>
  <c r="AT181" i="12"/>
  <c r="N209" i="12"/>
  <c r="AD209" i="12"/>
  <c r="AT209" i="12"/>
  <c r="N182" i="12"/>
  <c r="O138" i="12"/>
  <c r="N243" i="12"/>
  <c r="O277" i="12"/>
  <c r="N236" i="12"/>
  <c r="AE138" i="12"/>
  <c r="AE277" i="12"/>
  <c r="AD236" i="12"/>
  <c r="AD182" i="12"/>
  <c r="AD243" i="12"/>
  <c r="AU277" i="12"/>
  <c r="AU138" i="12"/>
  <c r="AT243" i="12"/>
  <c r="AT236" i="12"/>
  <c r="AT182" i="12"/>
  <c r="N237" i="12"/>
  <c r="O278" i="12"/>
  <c r="N139" i="12"/>
  <c r="AD139" i="12"/>
  <c r="AD237" i="12"/>
  <c r="AE278" i="12"/>
  <c r="AU278" i="12"/>
  <c r="AT139" i="12"/>
  <c r="AT237" i="12"/>
  <c r="N247" i="12"/>
  <c r="Z252" i="12"/>
  <c r="S252" i="12"/>
  <c r="P252" i="12"/>
  <c r="AT252" i="12"/>
  <c r="U252" i="12"/>
  <c r="O280" i="12"/>
  <c r="W252" i="12"/>
  <c r="X252" i="12"/>
  <c r="AF252" i="12"/>
  <c r="Y252" i="12"/>
  <c r="AA252" i="12"/>
  <c r="R252" i="12"/>
  <c r="AX252" i="12"/>
  <c r="O252" i="12"/>
  <c r="AE252" i="12"/>
  <c r="V252" i="12"/>
  <c r="AM252" i="12"/>
  <c r="T252" i="12"/>
  <c r="Q252" i="12"/>
  <c r="BA252" i="12"/>
  <c r="N252" i="12"/>
  <c r="AE280" i="12"/>
  <c r="AD247" i="12"/>
  <c r="AU280" i="12"/>
  <c r="AT247" i="12"/>
  <c r="O281" i="12"/>
  <c r="N136" i="12"/>
  <c r="AD136" i="12"/>
  <c r="AE281" i="12"/>
  <c r="AT136" i="12"/>
  <c r="AU281" i="12"/>
  <c r="V72" i="12"/>
  <c r="V68" i="17" s="1"/>
  <c r="V71" i="12"/>
  <c r="V67" i="17" s="1"/>
  <c r="AL72" i="12"/>
  <c r="AL68" i="17" s="1"/>
  <c r="AL71" i="12"/>
  <c r="AL67" i="17" s="1"/>
  <c r="AL76" i="12"/>
  <c r="AL75" i="12"/>
  <c r="F221" i="12"/>
  <c r="G284" i="12"/>
  <c r="AL185" i="12"/>
  <c r="AM285" i="12"/>
  <c r="V187" i="12"/>
  <c r="W287" i="12"/>
  <c r="AL188" i="12"/>
  <c r="AM288" i="12"/>
  <c r="G289" i="12"/>
  <c r="V190" i="12"/>
  <c r="W290" i="12"/>
  <c r="AU204" i="12"/>
  <c r="U145" i="12"/>
  <c r="U144" i="12"/>
  <c r="U146" i="12"/>
  <c r="Y145" i="12"/>
  <c r="Y146" i="12"/>
  <c r="Y144" i="12"/>
  <c r="AC146" i="12"/>
  <c r="AC145" i="12"/>
  <c r="AC144" i="12"/>
  <c r="AG146" i="12"/>
  <c r="AG144" i="12"/>
  <c r="AG145" i="12"/>
  <c r="AK146" i="12"/>
  <c r="AK144" i="12"/>
  <c r="AK145" i="12"/>
  <c r="AO145" i="12"/>
  <c r="AO144" i="12"/>
  <c r="AO146" i="12"/>
  <c r="AS146" i="12"/>
  <c r="AS144" i="12"/>
  <c r="AS145" i="12"/>
  <c r="AW146" i="12"/>
  <c r="AW144" i="12"/>
  <c r="AW145" i="12"/>
  <c r="BA146" i="12"/>
  <c r="BA145" i="12"/>
  <c r="BA144" i="12"/>
  <c r="I217" i="12"/>
  <c r="M217" i="12"/>
  <c r="Q217" i="12"/>
  <c r="U217" i="12"/>
  <c r="Y217" i="12"/>
  <c r="AC217" i="12"/>
  <c r="AG217" i="12"/>
  <c r="AK217" i="12"/>
  <c r="AO217" i="12"/>
  <c r="AW217" i="12"/>
  <c r="BA217" i="12"/>
  <c r="I211" i="12"/>
  <c r="M211" i="12"/>
  <c r="Q211" i="12"/>
  <c r="Q171" i="12"/>
  <c r="U171" i="12"/>
  <c r="U211" i="12"/>
  <c r="Y211" i="12"/>
  <c r="Y171" i="12"/>
  <c r="AC171" i="12"/>
  <c r="AC211" i="12"/>
  <c r="AG171" i="12"/>
  <c r="AG211" i="12"/>
  <c r="AK171" i="12"/>
  <c r="AK211" i="12"/>
  <c r="AO211" i="12"/>
  <c r="AO171" i="12"/>
  <c r="AS171" i="12"/>
  <c r="AS211" i="12"/>
  <c r="AW171" i="12"/>
  <c r="AW211" i="12"/>
  <c r="BA171" i="12"/>
  <c r="BA211" i="12"/>
  <c r="I199" i="12"/>
  <c r="M199" i="12"/>
  <c r="Q172" i="12"/>
  <c r="Q199" i="12"/>
  <c r="U199" i="12"/>
  <c r="U172" i="12"/>
  <c r="Y172" i="12"/>
  <c r="Y199" i="12"/>
  <c r="AC172" i="12"/>
  <c r="AC199" i="12"/>
  <c r="AG199" i="12"/>
  <c r="AG172" i="12"/>
  <c r="AK199" i="12"/>
  <c r="AK172" i="12"/>
  <c r="AO172" i="12"/>
  <c r="AO199" i="12"/>
  <c r="AS172" i="12"/>
  <c r="AS199" i="12"/>
  <c r="AW172" i="12"/>
  <c r="AW199" i="12"/>
  <c r="BA199" i="12"/>
  <c r="BA172" i="12"/>
  <c r="Q173" i="12"/>
  <c r="U173" i="12"/>
  <c r="Y173" i="12"/>
  <c r="AC173" i="12"/>
  <c r="AG173" i="12"/>
  <c r="AK173" i="12"/>
  <c r="AO173" i="12"/>
  <c r="AS173" i="12"/>
  <c r="AW173" i="12"/>
  <c r="BA173" i="12"/>
  <c r="Q174" i="12"/>
  <c r="U174" i="12"/>
  <c r="Y174" i="12"/>
  <c r="AC174" i="12"/>
  <c r="AG174" i="12"/>
  <c r="AK174" i="12"/>
  <c r="AO174" i="12"/>
  <c r="AS174" i="12"/>
  <c r="AW174" i="12"/>
  <c r="BA174" i="12"/>
  <c r="I200" i="12"/>
  <c r="M200" i="12"/>
  <c r="Q175" i="12"/>
  <c r="Q200" i="12"/>
  <c r="U200" i="12"/>
  <c r="U175" i="12"/>
  <c r="Y175" i="12"/>
  <c r="Y200" i="12"/>
  <c r="AC200" i="12"/>
  <c r="AC175" i="12"/>
  <c r="AG175" i="12"/>
  <c r="AG200" i="12"/>
  <c r="AK200" i="12"/>
  <c r="AK175" i="12"/>
  <c r="AO175" i="12"/>
  <c r="AO200" i="12"/>
  <c r="AS175" i="12"/>
  <c r="AS200" i="12"/>
  <c r="AW200" i="12"/>
  <c r="AW175" i="12"/>
  <c r="BA175" i="12"/>
  <c r="BA200" i="12"/>
  <c r="I202" i="12"/>
  <c r="I244" i="12"/>
  <c r="I240" i="12"/>
  <c r="M240" i="12"/>
  <c r="M202" i="12"/>
  <c r="M244" i="12"/>
  <c r="Q244" i="12"/>
  <c r="Q240" i="12"/>
  <c r="Q177" i="12"/>
  <c r="Q176" i="12"/>
  <c r="Q202" i="12"/>
  <c r="Q178" i="12"/>
  <c r="U244" i="12"/>
  <c r="U240" i="12"/>
  <c r="U177" i="12"/>
  <c r="U176" i="12"/>
  <c r="U202" i="12"/>
  <c r="U178" i="12"/>
  <c r="Y177" i="12"/>
  <c r="Y240" i="12"/>
  <c r="Y178" i="12"/>
  <c r="Y176" i="12"/>
  <c r="Y244" i="12"/>
  <c r="Y202" i="12"/>
  <c r="AC202" i="12"/>
  <c r="AC240" i="12"/>
  <c r="AC176" i="12"/>
  <c r="AC244" i="12"/>
  <c r="AC177" i="12"/>
  <c r="AC178" i="12"/>
  <c r="AG202" i="12"/>
  <c r="AG178" i="12"/>
  <c r="AG177" i="12"/>
  <c r="AG176" i="12"/>
  <c r="AG244" i="12"/>
  <c r="AG240" i="12"/>
  <c r="AK178" i="12"/>
  <c r="AK244" i="12"/>
  <c r="AK176" i="12"/>
  <c r="AK240" i="12"/>
  <c r="AK177" i="12"/>
  <c r="AK202" i="12"/>
  <c r="AO240" i="12"/>
  <c r="AO176" i="12"/>
  <c r="AO178" i="12"/>
  <c r="AO202" i="12"/>
  <c r="AO177" i="12"/>
  <c r="AO244" i="12"/>
  <c r="AS202" i="12"/>
  <c r="AS240" i="12"/>
  <c r="AS176" i="12"/>
  <c r="AS244" i="12"/>
  <c r="AS177" i="12"/>
  <c r="AS178" i="12"/>
  <c r="AW177" i="12"/>
  <c r="AW178" i="12"/>
  <c r="AW244" i="12"/>
  <c r="AW202" i="12"/>
  <c r="AW176" i="12"/>
  <c r="AW240" i="12"/>
  <c r="BA244" i="12"/>
  <c r="BA178" i="12"/>
  <c r="BA202" i="12"/>
  <c r="BA176" i="12"/>
  <c r="BA177" i="12"/>
  <c r="BA240" i="12"/>
  <c r="Q179" i="12"/>
  <c r="V179" i="12"/>
  <c r="AA179" i="12"/>
  <c r="AF179" i="12"/>
  <c r="AL179" i="12"/>
  <c r="AQ179" i="12"/>
  <c r="AV179" i="12"/>
  <c r="S181" i="12"/>
  <c r="AH181" i="12"/>
  <c r="AX181" i="12"/>
  <c r="R209" i="12"/>
  <c r="AH209" i="12"/>
  <c r="AX209" i="12"/>
  <c r="R243" i="12"/>
  <c r="S277" i="12"/>
  <c r="R182" i="12"/>
  <c r="R236" i="12"/>
  <c r="S138" i="12"/>
  <c r="AI138" i="12"/>
  <c r="AI277" i="12"/>
  <c r="AH243" i="12"/>
  <c r="AH236" i="12"/>
  <c r="AH182" i="12"/>
  <c r="AY138" i="12"/>
  <c r="AX182" i="12"/>
  <c r="AX236" i="12"/>
  <c r="AY277" i="12"/>
  <c r="AX243" i="12"/>
  <c r="S278" i="12"/>
  <c r="R139" i="12"/>
  <c r="R237" i="12"/>
  <c r="AH237" i="12"/>
  <c r="AH139" i="12"/>
  <c r="AI278" i="12"/>
  <c r="AY278" i="12"/>
  <c r="AX139" i="12"/>
  <c r="AX237" i="12"/>
  <c r="R247" i="12"/>
  <c r="S280" i="12"/>
  <c r="AH247" i="12"/>
  <c r="AI280" i="12"/>
  <c r="AX247" i="12"/>
  <c r="AY280" i="12"/>
  <c r="R136" i="12"/>
  <c r="S281" i="12"/>
  <c r="AI281" i="12"/>
  <c r="AH136" i="12"/>
  <c r="AY281" i="12"/>
  <c r="AX136" i="12"/>
  <c r="Z72" i="12"/>
  <c r="Z68" i="17" s="1"/>
  <c r="Z71" i="12"/>
  <c r="Z67" i="17" s="1"/>
  <c r="AP71" i="12"/>
  <c r="AP67" i="17" s="1"/>
  <c r="AP72" i="12"/>
  <c r="AP68" i="17" s="1"/>
  <c r="G283" i="12"/>
  <c r="V184" i="12"/>
  <c r="V221" i="12"/>
  <c r="W284" i="12"/>
  <c r="F222" i="12"/>
  <c r="G286" i="12"/>
  <c r="AL187" i="12"/>
  <c r="AM287" i="12"/>
  <c r="V189" i="12"/>
  <c r="W289" i="12"/>
  <c r="AL190" i="12"/>
  <c r="AM290" i="12"/>
  <c r="AE191" i="12"/>
  <c r="Z144" i="12"/>
  <c r="Z145" i="12"/>
  <c r="Z146" i="12"/>
  <c r="AD144" i="12"/>
  <c r="AD145" i="12"/>
  <c r="AD146" i="12"/>
  <c r="AH144" i="12"/>
  <c r="AH145" i="12"/>
  <c r="AH146" i="12"/>
  <c r="AL145" i="12"/>
  <c r="AL144" i="12"/>
  <c r="AL146" i="12"/>
  <c r="AP145" i="12"/>
  <c r="AP144" i="12"/>
  <c r="AP146" i="12"/>
  <c r="AT144" i="12"/>
  <c r="AT146" i="12"/>
  <c r="AT145" i="12"/>
  <c r="AX146" i="12"/>
  <c r="AX144" i="12"/>
  <c r="F217" i="12"/>
  <c r="J217" i="12"/>
  <c r="N217" i="12"/>
  <c r="R217" i="12"/>
  <c r="V217" i="12"/>
  <c r="Z217" i="12"/>
  <c r="AD217" i="12"/>
  <c r="AH217" i="12"/>
  <c r="AL217" i="12"/>
  <c r="AP217" i="12"/>
  <c r="AT217" i="12"/>
  <c r="AX217" i="12"/>
  <c r="F211" i="12"/>
  <c r="J211" i="12"/>
  <c r="N211" i="12"/>
  <c r="N171" i="12"/>
  <c r="R211" i="12"/>
  <c r="R171" i="12"/>
  <c r="V211" i="12"/>
  <c r="V171" i="12"/>
  <c r="Z211" i="12"/>
  <c r="Z171" i="12"/>
  <c r="AD211" i="12"/>
  <c r="AD171" i="12"/>
  <c r="AH211" i="12"/>
  <c r="AH171" i="12"/>
  <c r="AL171" i="12"/>
  <c r="AL211" i="12"/>
  <c r="AT171" i="12"/>
  <c r="AT211" i="12"/>
  <c r="AX211" i="12"/>
  <c r="AX171" i="12"/>
  <c r="F199" i="12"/>
  <c r="J199" i="12"/>
  <c r="N172" i="12"/>
  <c r="N199" i="12"/>
  <c r="R199" i="12"/>
  <c r="R172" i="12"/>
  <c r="V199" i="12"/>
  <c r="V172" i="12"/>
  <c r="Z172" i="12"/>
  <c r="Z199" i="12"/>
  <c r="AD172" i="12"/>
  <c r="AD199" i="12"/>
  <c r="AH199" i="12"/>
  <c r="AH172" i="12"/>
  <c r="AL199" i="12"/>
  <c r="AL172" i="12"/>
  <c r="AP199" i="12"/>
  <c r="AP172" i="12"/>
  <c r="AT199" i="12"/>
  <c r="AT172" i="12"/>
  <c r="AX172" i="12"/>
  <c r="AX199" i="12"/>
  <c r="N173" i="12"/>
  <c r="R173" i="12"/>
  <c r="V173" i="12"/>
  <c r="Z173" i="12"/>
  <c r="AD173" i="12"/>
  <c r="AH173" i="12"/>
  <c r="AL173" i="12"/>
  <c r="AP173" i="12"/>
  <c r="AT173" i="12"/>
  <c r="AX173" i="12"/>
  <c r="N174" i="12"/>
  <c r="R174" i="12"/>
  <c r="V174" i="12"/>
  <c r="Z174" i="12"/>
  <c r="AD174" i="12"/>
  <c r="AH174" i="12"/>
  <c r="AL174" i="12"/>
  <c r="AP174" i="12"/>
  <c r="AT174" i="12"/>
  <c r="AX174" i="12"/>
  <c r="F200" i="12"/>
  <c r="J200" i="12"/>
  <c r="N175" i="12"/>
  <c r="N200" i="12"/>
  <c r="R175" i="12"/>
  <c r="R200" i="12"/>
  <c r="V200" i="12"/>
  <c r="V175" i="12"/>
  <c r="Z200" i="12"/>
  <c r="Z175" i="12"/>
  <c r="AD200" i="12"/>
  <c r="AD175" i="12"/>
  <c r="AH175" i="12"/>
  <c r="AH200" i="12"/>
  <c r="AL175" i="12"/>
  <c r="AL200" i="12"/>
  <c r="AP175" i="12"/>
  <c r="AP200" i="12"/>
  <c r="AT200" i="12"/>
  <c r="AT175" i="12"/>
  <c r="AX200" i="12"/>
  <c r="F244" i="12"/>
  <c r="F240" i="12"/>
  <c r="F202" i="12"/>
  <c r="J240" i="12"/>
  <c r="J202" i="12"/>
  <c r="J244" i="12"/>
  <c r="W253" i="12"/>
  <c r="AV253" i="12"/>
  <c r="AR253" i="12"/>
  <c r="Y253" i="12"/>
  <c r="AU253" i="12"/>
  <c r="AF253" i="12"/>
  <c r="AG253" i="12"/>
  <c r="T253" i="12"/>
  <c r="AT253" i="12"/>
  <c r="N176" i="12"/>
  <c r="AY253" i="12"/>
  <c r="AA253" i="12"/>
  <c r="S253" i="12"/>
  <c r="N240" i="12"/>
  <c r="Z253" i="12"/>
  <c r="P253" i="12"/>
  <c r="AD253" i="12"/>
  <c r="AM253" i="12"/>
  <c r="AO253" i="12"/>
  <c r="N178" i="12"/>
  <c r="AN253" i="12"/>
  <c r="U253" i="12"/>
  <c r="AH253" i="12"/>
  <c r="AZ253" i="12"/>
  <c r="Q253" i="12"/>
  <c r="N177" i="12"/>
  <c r="N244" i="12"/>
  <c r="R253" i="12"/>
  <c r="AC253" i="12"/>
  <c r="AB253" i="12"/>
  <c r="X253" i="12"/>
  <c r="V253" i="12"/>
  <c r="AW253" i="12"/>
  <c r="AI253" i="12"/>
  <c r="N202" i="12"/>
  <c r="AX253" i="12"/>
  <c r="AJ253" i="12"/>
  <c r="AL253" i="12"/>
  <c r="AK253" i="12"/>
  <c r="N253" i="12"/>
  <c r="AQ253" i="12"/>
  <c r="AP253" i="12"/>
  <c r="AE253" i="12"/>
  <c r="O253" i="12"/>
  <c r="AS253" i="12"/>
  <c r="BA253" i="12"/>
  <c r="R240" i="12"/>
  <c r="R178" i="12"/>
  <c r="R176" i="12"/>
  <c r="R244" i="12"/>
  <c r="R202" i="12"/>
  <c r="V176" i="12"/>
  <c r="V202" i="12"/>
  <c r="V240" i="12"/>
  <c r="V177" i="12"/>
  <c r="V244" i="12"/>
  <c r="V178" i="12"/>
  <c r="Z178" i="12"/>
  <c r="Z202" i="12"/>
  <c r="Z177" i="12"/>
  <c r="Z176" i="12"/>
  <c r="Z240" i="12"/>
  <c r="Z244" i="12"/>
  <c r="AD240" i="12"/>
  <c r="AD244" i="12"/>
  <c r="AD176" i="12"/>
  <c r="AD178" i="12"/>
  <c r="AD202" i="12"/>
  <c r="AD177" i="12"/>
  <c r="AH176" i="12"/>
  <c r="AH240" i="12"/>
  <c r="AH244" i="12"/>
  <c r="AH202" i="12"/>
  <c r="AH177" i="12"/>
  <c r="AH178" i="12"/>
  <c r="AL240" i="12"/>
  <c r="AL178" i="12"/>
  <c r="AL244" i="12"/>
  <c r="AL176" i="12"/>
  <c r="AL177" i="12"/>
  <c r="AL202" i="12"/>
  <c r="AP177" i="12"/>
  <c r="AP244" i="12"/>
  <c r="AP178" i="12"/>
  <c r="AP176" i="12"/>
  <c r="AP202" i="12"/>
  <c r="AP240" i="12"/>
  <c r="AT240" i="12"/>
  <c r="AT177" i="12"/>
  <c r="AT178" i="12"/>
  <c r="AT176" i="12"/>
  <c r="AT202" i="12"/>
  <c r="AT244" i="12"/>
  <c r="AX202" i="12"/>
  <c r="AX244" i="12"/>
  <c r="AX176" i="12"/>
  <c r="AX178" i="12"/>
  <c r="AX177" i="12"/>
  <c r="AX240" i="12"/>
  <c r="N179" i="12"/>
  <c r="R179" i="12"/>
  <c r="W179" i="12"/>
  <c r="AB179" i="12"/>
  <c r="AH179" i="12"/>
  <c r="AM179" i="12"/>
  <c r="AR179" i="12"/>
  <c r="N181" i="12"/>
  <c r="V181" i="12"/>
  <c r="AL181" i="12"/>
  <c r="F209" i="12"/>
  <c r="V209" i="12"/>
  <c r="AL209" i="12"/>
  <c r="G277" i="12"/>
  <c r="F243" i="12"/>
  <c r="G138" i="12"/>
  <c r="V236" i="12"/>
  <c r="W138" i="12"/>
  <c r="V182" i="12"/>
  <c r="W277" i="12"/>
  <c r="V243" i="12"/>
  <c r="AL236" i="12"/>
  <c r="AM277" i="12"/>
  <c r="AM138" i="12"/>
  <c r="AL182" i="12"/>
  <c r="AL243" i="12"/>
  <c r="G278" i="12"/>
  <c r="V139" i="12"/>
  <c r="W278" i="12"/>
  <c r="V237" i="12"/>
  <c r="AL139" i="12"/>
  <c r="AM278" i="12"/>
  <c r="AL237" i="12"/>
  <c r="G280" i="12"/>
  <c r="F247" i="12"/>
  <c r="W280" i="12"/>
  <c r="V247" i="12"/>
  <c r="AL247" i="12"/>
  <c r="AM280" i="12"/>
  <c r="G281" i="12"/>
  <c r="W281" i="12"/>
  <c r="V136" i="12"/>
  <c r="AL136" i="12"/>
  <c r="AM281" i="12"/>
  <c r="N72" i="12"/>
  <c r="N68" i="17" s="1"/>
  <c r="N71" i="12"/>
  <c r="N67" i="17" s="1"/>
  <c r="AD71" i="12"/>
  <c r="AD67" i="17" s="1"/>
  <c r="AD72" i="12"/>
  <c r="AD68" i="17" s="1"/>
  <c r="AT72" i="12"/>
  <c r="AT71" i="12"/>
  <c r="AL184" i="12"/>
  <c r="AL221" i="12"/>
  <c r="AM284" i="12"/>
  <c r="G285" i="12"/>
  <c r="V222" i="12"/>
  <c r="V186" i="12"/>
  <c r="W286" i="12"/>
  <c r="G288" i="12"/>
  <c r="AM289" i="12"/>
  <c r="AL189" i="12"/>
  <c r="W181" i="12"/>
  <c r="AA181" i="12"/>
  <c r="AE181" i="12"/>
  <c r="AI181" i="12"/>
  <c r="AM181" i="12"/>
  <c r="AQ181" i="12"/>
  <c r="AU181" i="12"/>
  <c r="AY181" i="12"/>
  <c r="G209" i="12"/>
  <c r="K209" i="12"/>
  <c r="O209" i="12"/>
  <c r="S209" i="12"/>
  <c r="W209" i="12"/>
  <c r="AA209" i="12"/>
  <c r="AE209" i="12"/>
  <c r="AI209" i="12"/>
  <c r="AM209" i="12"/>
  <c r="AQ209" i="12"/>
  <c r="AU209" i="12"/>
  <c r="AY209" i="12"/>
  <c r="G236" i="12"/>
  <c r="G243" i="12"/>
  <c r="H138" i="12"/>
  <c r="H277" i="12"/>
  <c r="M277" i="12"/>
  <c r="K236" i="12"/>
  <c r="M138" i="12"/>
  <c r="L277" i="12"/>
  <c r="L138" i="12"/>
  <c r="K243" i="12"/>
  <c r="O236" i="12"/>
  <c r="P277" i="12"/>
  <c r="O243" i="12"/>
  <c r="O182" i="12"/>
  <c r="P138" i="12"/>
  <c r="S236" i="12"/>
  <c r="T138" i="12"/>
  <c r="S182" i="12"/>
  <c r="T277" i="12"/>
  <c r="S243" i="12"/>
  <c r="X277" i="12"/>
  <c r="W243" i="12"/>
  <c r="W182" i="12"/>
  <c r="W236" i="12"/>
  <c r="X138" i="12"/>
  <c r="AA236" i="12"/>
  <c r="AA243" i="12"/>
  <c r="AB138" i="12"/>
  <c r="AB277" i="12"/>
  <c r="AA182" i="12"/>
  <c r="AF277" i="12"/>
  <c r="AF138" i="12"/>
  <c r="AE243" i="12"/>
  <c r="AE236" i="12"/>
  <c r="AE182" i="12"/>
  <c r="AI182" i="12"/>
  <c r="AJ277" i="12"/>
  <c r="AJ138" i="12"/>
  <c r="AI243" i="12"/>
  <c r="AI236" i="12"/>
  <c r="AM236" i="12"/>
  <c r="AM243" i="12"/>
  <c r="AN138" i="12"/>
  <c r="AM182" i="12"/>
  <c r="AN277" i="12"/>
  <c r="AR277" i="12"/>
  <c r="AR138" i="12"/>
  <c r="AQ243" i="12"/>
  <c r="AQ182" i="12"/>
  <c r="AQ236" i="12"/>
  <c r="AU243" i="12"/>
  <c r="AU182" i="12"/>
  <c r="AU236" i="12"/>
  <c r="AV138" i="12"/>
  <c r="AV277" i="12"/>
  <c r="AY236" i="12"/>
  <c r="AY182" i="12"/>
  <c r="AZ277" i="12"/>
  <c r="AZ138" i="12"/>
  <c r="AY243" i="12"/>
  <c r="G237" i="12"/>
  <c r="H278" i="12"/>
  <c r="L278" i="12"/>
  <c r="M278" i="12"/>
  <c r="K237" i="12"/>
  <c r="P278" i="12"/>
  <c r="O139" i="12"/>
  <c r="O237" i="12"/>
  <c r="T278" i="12"/>
  <c r="S139" i="12"/>
  <c r="S237" i="12"/>
  <c r="W139" i="12"/>
  <c r="W237" i="12"/>
  <c r="X278" i="12"/>
  <c r="AA139" i="12"/>
  <c r="AB278" i="12"/>
  <c r="AA237" i="12"/>
  <c r="AE139" i="12"/>
  <c r="AF278" i="12"/>
  <c r="AE237" i="12"/>
  <c r="AJ278" i="12"/>
  <c r="AI139" i="12"/>
  <c r="AI237" i="12"/>
  <c r="AM139" i="12"/>
  <c r="AM237" i="12"/>
  <c r="AN278" i="12"/>
  <c r="AR278" i="12"/>
  <c r="AQ139" i="12"/>
  <c r="AQ237" i="12"/>
  <c r="AV278" i="12"/>
  <c r="AU237" i="12"/>
  <c r="AZ278" i="12"/>
  <c r="AY237" i="12"/>
  <c r="AY139" i="12"/>
  <c r="G247" i="12"/>
  <c r="H280" i="12"/>
  <c r="L280" i="12"/>
  <c r="K247" i="12"/>
  <c r="M280" i="12"/>
  <c r="P280" i="12"/>
  <c r="O247" i="12"/>
  <c r="S247" i="12"/>
  <c r="T280" i="12"/>
  <c r="X280" i="12"/>
  <c r="W247" i="12"/>
  <c r="AA247" i="12"/>
  <c r="AB280" i="12"/>
  <c r="AE247" i="12"/>
  <c r="AF280" i="12"/>
  <c r="AJ280" i="12"/>
  <c r="AI247" i="12"/>
  <c r="AM247" i="12"/>
  <c r="AN280" i="12"/>
  <c r="AQ247" i="12"/>
  <c r="AR280" i="12"/>
  <c r="AU247" i="12"/>
  <c r="AV280" i="12"/>
  <c r="AZ280" i="12"/>
  <c r="AY247" i="12"/>
  <c r="H281" i="12"/>
  <c r="M281" i="12"/>
  <c r="L281" i="12"/>
  <c r="P281" i="12"/>
  <c r="O136" i="12"/>
  <c r="T281" i="12"/>
  <c r="S136" i="12"/>
  <c r="W136" i="12"/>
  <c r="X281" i="12"/>
  <c r="AA136" i="12"/>
  <c r="AB281" i="12"/>
  <c r="AE136" i="12"/>
  <c r="AF281" i="12"/>
  <c r="AI136" i="12"/>
  <c r="AJ281" i="12"/>
  <c r="AM136" i="12"/>
  <c r="AN281" i="12"/>
  <c r="AQ136" i="12"/>
  <c r="AR281" i="12"/>
  <c r="AV281" i="12"/>
  <c r="AU136" i="12"/>
  <c r="AZ281" i="12"/>
  <c r="AY136" i="12"/>
  <c r="O72" i="12"/>
  <c r="O68" i="17" s="1"/>
  <c r="O71" i="12"/>
  <c r="O67" i="17" s="1"/>
  <c r="S71" i="12"/>
  <c r="S67" i="17" s="1"/>
  <c r="S72" i="12"/>
  <c r="S68" i="17" s="1"/>
  <c r="W72" i="12"/>
  <c r="W68" i="17" s="1"/>
  <c r="W71" i="12"/>
  <c r="W67" i="17" s="1"/>
  <c r="AA71" i="12"/>
  <c r="AA67" i="17" s="1"/>
  <c r="AA72" i="12"/>
  <c r="AA68" i="17" s="1"/>
  <c r="AE72" i="12"/>
  <c r="AE68" i="17" s="1"/>
  <c r="AE71" i="12"/>
  <c r="AE67" i="17" s="1"/>
  <c r="AI72" i="12"/>
  <c r="AI68" i="17" s="1"/>
  <c r="AI71" i="12"/>
  <c r="AI67" i="17" s="1"/>
  <c r="AM71" i="12"/>
  <c r="AM67" i="17" s="1"/>
  <c r="AM72" i="12"/>
  <c r="AM68" i="17" s="1"/>
  <c r="AQ72" i="12"/>
  <c r="AU71" i="12"/>
  <c r="AU72" i="12"/>
  <c r="AY72" i="12"/>
  <c r="AY71" i="12"/>
  <c r="Z76" i="12"/>
  <c r="Z75" i="12"/>
  <c r="AP76" i="12"/>
  <c r="AP75" i="12"/>
  <c r="K283" i="12"/>
  <c r="Z183" i="12"/>
  <c r="AA283" i="12"/>
  <c r="AP183" i="12"/>
  <c r="AQ283" i="12"/>
  <c r="J221" i="12"/>
  <c r="K284" i="12"/>
  <c r="AA284" i="12"/>
  <c r="Z184" i="12"/>
  <c r="Z221" i="12"/>
  <c r="AP184" i="12"/>
  <c r="AP221" i="12"/>
  <c r="AQ284" i="12"/>
  <c r="K285" i="12"/>
  <c r="AA285" i="12"/>
  <c r="Z185" i="12"/>
  <c r="AQ285" i="12"/>
  <c r="AP185" i="12"/>
  <c r="K286" i="12"/>
  <c r="J222" i="12"/>
  <c r="AA286" i="12"/>
  <c r="Z222" i="12"/>
  <c r="Z186" i="12"/>
  <c r="AQ286" i="12"/>
  <c r="AP186" i="12"/>
  <c r="AP222" i="12"/>
  <c r="K287" i="12"/>
  <c r="Z187" i="12"/>
  <c r="AA287" i="12"/>
  <c r="AP187" i="12"/>
  <c r="AQ287" i="12"/>
  <c r="K288" i="12"/>
  <c r="Z188" i="12"/>
  <c r="AA288" i="12"/>
  <c r="AQ288" i="12"/>
  <c r="AP188" i="12"/>
  <c r="K289" i="12"/>
  <c r="AA289" i="12"/>
  <c r="Z189" i="12"/>
  <c r="AQ289" i="12"/>
  <c r="AP189" i="12"/>
  <c r="K290" i="12"/>
  <c r="AA290" i="12"/>
  <c r="Z190" i="12"/>
  <c r="AP190" i="12"/>
  <c r="AQ290" i="12"/>
  <c r="AM191" i="12"/>
  <c r="O140" i="12"/>
  <c r="AU141" i="12"/>
  <c r="P181" i="12"/>
  <c r="T181" i="12"/>
  <c r="X181" i="12"/>
  <c r="AB181" i="12"/>
  <c r="AF181" i="12"/>
  <c r="AJ181" i="12"/>
  <c r="AN181" i="12"/>
  <c r="AR181" i="12"/>
  <c r="AV181" i="12"/>
  <c r="AZ181" i="12"/>
  <c r="H209" i="12"/>
  <c r="L209" i="12"/>
  <c r="P209" i="12"/>
  <c r="T209" i="12"/>
  <c r="AB209" i="12"/>
  <c r="AF209" i="12"/>
  <c r="AJ209" i="12"/>
  <c r="AN209" i="12"/>
  <c r="AR209" i="12"/>
  <c r="AV209" i="12"/>
  <c r="AZ209" i="12"/>
  <c r="H236" i="12"/>
  <c r="H243" i="12"/>
  <c r="I277" i="12"/>
  <c r="I138" i="12"/>
  <c r="P243" i="12"/>
  <c r="Q277" i="12"/>
  <c r="P182" i="12"/>
  <c r="P236" i="12"/>
  <c r="Q138" i="12"/>
  <c r="T182" i="12"/>
  <c r="U277" i="12"/>
  <c r="T243" i="12"/>
  <c r="U138" i="12"/>
  <c r="T236" i="12"/>
  <c r="X243" i="12"/>
  <c r="X236" i="12"/>
  <c r="X182" i="12"/>
  <c r="Y138" i="12"/>
  <c r="Y277" i="12"/>
  <c r="AC138" i="12"/>
  <c r="AB182" i="12"/>
  <c r="AC277" i="12"/>
  <c r="AB243" i="12"/>
  <c r="AB236" i="12"/>
  <c r="AF236" i="12"/>
  <c r="AG277" i="12"/>
  <c r="AF243" i="12"/>
  <c r="AF182" i="12"/>
  <c r="AG138" i="12"/>
  <c r="AJ236" i="12"/>
  <c r="AJ243" i="12"/>
  <c r="AJ182" i="12"/>
  <c r="AK138" i="12"/>
  <c r="AK277" i="12"/>
  <c r="AN243" i="12"/>
  <c r="AN236" i="12"/>
  <c r="AO277" i="12"/>
  <c r="AN182" i="12"/>
  <c r="AO138" i="12"/>
  <c r="AR182" i="12"/>
  <c r="AR243" i="12"/>
  <c r="AS277" i="12"/>
  <c r="AS138" i="12"/>
  <c r="AR236" i="12"/>
  <c r="AV243" i="12"/>
  <c r="AV236" i="12"/>
  <c r="AW277" i="12"/>
  <c r="AW138" i="12"/>
  <c r="AV182" i="12"/>
  <c r="AZ182" i="12"/>
  <c r="AZ243" i="12"/>
  <c r="BA277" i="12"/>
  <c r="BA138" i="12"/>
  <c r="AZ236" i="12"/>
  <c r="I278" i="12"/>
  <c r="H237" i="12"/>
  <c r="Q278" i="12"/>
  <c r="P139" i="12"/>
  <c r="P237" i="12"/>
  <c r="T237" i="12"/>
  <c r="U278" i="12"/>
  <c r="X237" i="12"/>
  <c r="Y278" i="12"/>
  <c r="X139" i="12"/>
  <c r="AB237" i="12"/>
  <c r="AC278" i="12"/>
  <c r="AB139" i="12"/>
  <c r="AF139" i="12"/>
  <c r="AF237" i="12"/>
  <c r="AG278" i="12"/>
  <c r="AJ139" i="12"/>
  <c r="AJ237" i="12"/>
  <c r="AK278" i="12"/>
  <c r="AN237" i="12"/>
  <c r="AN139" i="12"/>
  <c r="AO278" i="12"/>
  <c r="AR237" i="12"/>
  <c r="AS278" i="12"/>
  <c r="AR139" i="12"/>
  <c r="AV237" i="12"/>
  <c r="AV139" i="12"/>
  <c r="AW278" i="12"/>
  <c r="AZ237" i="12"/>
  <c r="AZ139" i="12"/>
  <c r="BA278" i="12"/>
  <c r="H247" i="12"/>
  <c r="I280" i="12"/>
  <c r="L247" i="12"/>
  <c r="Q280" i="12"/>
  <c r="P247" i="12"/>
  <c r="U280" i="12"/>
  <c r="T247" i="12"/>
  <c r="Y280" i="12"/>
  <c r="X247" i="12"/>
  <c r="AB247" i="12"/>
  <c r="AF247" i="12"/>
  <c r="AG280" i="12"/>
  <c r="AK280" i="12"/>
  <c r="AJ247" i="12"/>
  <c r="AN247" i="12"/>
  <c r="AO280" i="12"/>
  <c r="AR247" i="12"/>
  <c r="AS280" i="12"/>
  <c r="AW280" i="12"/>
  <c r="AV247" i="12"/>
  <c r="AZ247" i="12"/>
  <c r="BA280" i="12"/>
  <c r="I281" i="12"/>
  <c r="P136" i="12"/>
  <c r="Q281" i="12"/>
  <c r="U281" i="12"/>
  <c r="T136" i="12"/>
  <c r="X136" i="12"/>
  <c r="Y281" i="12"/>
  <c r="AB136" i="12"/>
  <c r="AC281" i="12"/>
  <c r="AF136" i="12"/>
  <c r="AG281" i="12"/>
  <c r="AJ136" i="12"/>
  <c r="AK281" i="12"/>
  <c r="AO281" i="12"/>
  <c r="AN136" i="12"/>
  <c r="AR136" i="12"/>
  <c r="AS281" i="12"/>
  <c r="AW281" i="12"/>
  <c r="AV136" i="12"/>
  <c r="AZ136" i="12"/>
  <c r="BA281" i="12"/>
  <c r="P71" i="12"/>
  <c r="P67" i="17" s="1"/>
  <c r="T71" i="12"/>
  <c r="T67" i="17" s="1"/>
  <c r="T72" i="12"/>
  <c r="T68" i="17" s="1"/>
  <c r="X71" i="12"/>
  <c r="X67" i="17" s="1"/>
  <c r="X72" i="12"/>
  <c r="X68" i="17" s="1"/>
  <c r="AB72" i="12"/>
  <c r="AB68" i="17" s="1"/>
  <c r="AB71" i="12"/>
  <c r="AB67" i="17" s="1"/>
  <c r="AF71" i="12"/>
  <c r="AF67" i="17" s="1"/>
  <c r="AF72" i="12"/>
  <c r="AF68" i="17" s="1"/>
  <c r="AJ71" i="12"/>
  <c r="AJ67" i="17" s="1"/>
  <c r="AJ72" i="12"/>
  <c r="AJ68" i="17" s="1"/>
  <c r="AN71" i="12"/>
  <c r="AN67" i="17"/>
  <c r="AN72" i="12"/>
  <c r="AN68" i="17"/>
  <c r="AR71" i="12"/>
  <c r="AR72" i="12"/>
  <c r="AV71" i="12"/>
  <c r="AV72" i="12"/>
  <c r="AZ71" i="12"/>
  <c r="AZ72" i="12"/>
  <c r="N76" i="12"/>
  <c r="N75" i="12"/>
  <c r="AD76" i="12"/>
  <c r="AD75" i="12"/>
  <c r="AT76" i="12"/>
  <c r="AT75" i="12"/>
  <c r="O283" i="12"/>
  <c r="N183" i="12"/>
  <c r="AE283" i="12"/>
  <c r="AD183" i="12"/>
  <c r="AT183" i="12"/>
  <c r="AU283" i="12"/>
  <c r="O284" i="12"/>
  <c r="N184" i="12"/>
  <c r="N221" i="12"/>
  <c r="AD184" i="12"/>
  <c r="AD221" i="12"/>
  <c r="AE284" i="12"/>
  <c r="AT184" i="12"/>
  <c r="AU284" i="12"/>
  <c r="AT221" i="12"/>
  <c r="N185" i="12"/>
  <c r="O285" i="12"/>
  <c r="AE285" i="12"/>
  <c r="AD185" i="12"/>
  <c r="AU285" i="12"/>
  <c r="AT185" i="12"/>
  <c r="N186" i="12"/>
  <c r="N222" i="12"/>
  <c r="O286" i="12"/>
  <c r="AD222" i="12"/>
  <c r="AE286" i="12"/>
  <c r="AD186" i="12"/>
  <c r="AT186" i="12"/>
  <c r="AT222" i="12"/>
  <c r="AU286" i="12"/>
  <c r="O287" i="12"/>
  <c r="N187" i="12"/>
  <c r="AE287" i="12"/>
  <c r="AD187" i="12"/>
  <c r="AU287" i="12"/>
  <c r="AT187" i="12"/>
  <c r="O288" i="12"/>
  <c r="N188" i="12"/>
  <c r="AE288" i="12"/>
  <c r="AD188" i="12"/>
  <c r="AU288" i="12"/>
  <c r="AT188" i="12"/>
  <c r="O289" i="12"/>
  <c r="N189" i="12"/>
  <c r="AD189" i="12"/>
  <c r="AE289" i="12"/>
  <c r="AU289" i="12"/>
  <c r="AT189" i="12"/>
  <c r="O290" i="12"/>
  <c r="AE290" i="12"/>
  <c r="AD190" i="12"/>
  <c r="AT190" i="12"/>
  <c r="AU290" i="12"/>
  <c r="O191" i="12"/>
  <c r="AU191" i="12"/>
  <c r="AE143" i="12"/>
  <c r="AE203" i="12"/>
  <c r="AE142" i="12"/>
  <c r="U179" i="12"/>
  <c r="Y179" i="12"/>
  <c r="AC179" i="12"/>
  <c r="AG179" i="12"/>
  <c r="AK179" i="12"/>
  <c r="AO179" i="12"/>
  <c r="AS179" i="12"/>
  <c r="AW179" i="12"/>
  <c r="BA179" i="12"/>
  <c r="Q181" i="12"/>
  <c r="U181" i="12"/>
  <c r="Y181" i="12"/>
  <c r="AC181" i="12"/>
  <c r="AG181" i="12"/>
  <c r="AK181" i="12"/>
  <c r="AO181" i="12"/>
  <c r="AS181" i="12"/>
  <c r="AW181" i="12"/>
  <c r="BA181" i="12"/>
  <c r="I209" i="12"/>
  <c r="M209" i="12"/>
  <c r="Q209" i="12"/>
  <c r="U209" i="12"/>
  <c r="Y209" i="12"/>
  <c r="AC209" i="12"/>
  <c r="AG209" i="12"/>
  <c r="AK209" i="12"/>
  <c r="AO209" i="12"/>
  <c r="AS209" i="12"/>
  <c r="AW209" i="12"/>
  <c r="BA209" i="12"/>
  <c r="I236" i="12"/>
  <c r="I243" i="12"/>
  <c r="J138" i="12"/>
  <c r="J277" i="12"/>
  <c r="N277" i="12"/>
  <c r="N138" i="12"/>
  <c r="M236" i="12"/>
  <c r="M243" i="12"/>
  <c r="Q182" i="12"/>
  <c r="R138" i="12"/>
  <c r="R277" i="12"/>
  <c r="Q243" i="12"/>
  <c r="Q236" i="12"/>
  <c r="U236" i="12"/>
  <c r="V277" i="12"/>
  <c r="U182" i="12"/>
  <c r="V138" i="12"/>
  <c r="U243" i="12"/>
  <c r="Z138" i="12"/>
  <c r="Y182" i="12"/>
  <c r="Y243" i="12"/>
  <c r="Y236" i="12"/>
  <c r="Z277" i="12"/>
  <c r="AC182" i="12"/>
  <c r="AD277" i="12"/>
  <c r="AC236" i="12"/>
  <c r="AD138" i="12"/>
  <c r="AC243" i="12"/>
  <c r="AG182" i="12"/>
  <c r="AG236" i="12"/>
  <c r="AH138" i="12"/>
  <c r="AH277" i="12"/>
  <c r="AG243" i="12"/>
  <c r="AL138" i="12"/>
  <c r="AK243" i="12"/>
  <c r="AK182" i="12"/>
  <c r="AK236" i="12"/>
  <c r="AL277" i="12"/>
  <c r="AP277" i="12"/>
  <c r="AP138" i="12"/>
  <c r="AO182" i="12"/>
  <c r="AO236" i="12"/>
  <c r="AO243" i="12"/>
  <c r="AS243" i="12"/>
  <c r="AT277" i="12"/>
  <c r="AS182" i="12"/>
  <c r="AT138" i="12"/>
  <c r="AS236" i="12"/>
  <c r="AX277" i="12"/>
  <c r="AX138" i="12"/>
  <c r="AW243" i="12"/>
  <c r="AW182" i="12"/>
  <c r="AW236" i="12"/>
  <c r="BA243" i="12"/>
  <c r="BA236" i="12"/>
  <c r="BA182" i="12"/>
  <c r="I237" i="12"/>
  <c r="J278" i="12"/>
  <c r="N278" i="12"/>
  <c r="M237" i="12"/>
  <c r="Q139" i="12"/>
  <c r="R278" i="12"/>
  <c r="Q237" i="12"/>
  <c r="V278" i="12"/>
  <c r="U139" i="12"/>
  <c r="U237" i="12"/>
  <c r="Y237" i="12"/>
  <c r="Y139" i="12"/>
  <c r="Z278" i="12"/>
  <c r="AC139" i="12"/>
  <c r="AC237" i="12"/>
  <c r="AD278" i="12"/>
  <c r="AG139" i="12"/>
  <c r="AG237" i="12"/>
  <c r="AH278" i="12"/>
  <c r="AL278" i="12"/>
  <c r="AK139" i="12"/>
  <c r="AK237" i="12"/>
  <c r="AO139" i="12"/>
  <c r="AO237" i="12"/>
  <c r="AP278" i="12"/>
  <c r="AT278" i="12"/>
  <c r="AS139" i="12"/>
  <c r="AS237" i="12"/>
  <c r="AW237" i="12"/>
  <c r="AW139" i="12"/>
  <c r="AX278" i="12"/>
  <c r="BA139" i="12"/>
  <c r="BA237" i="12"/>
  <c r="I247" i="12"/>
  <c r="J280" i="12"/>
  <c r="N280" i="12"/>
  <c r="M247" i="12"/>
  <c r="R280" i="12"/>
  <c r="Q247" i="12"/>
  <c r="V280" i="12"/>
  <c r="U247" i="12"/>
  <c r="Y247" i="12"/>
  <c r="Z280" i="12"/>
  <c r="AD280" i="12"/>
  <c r="AC247" i="12"/>
  <c r="AH280" i="12"/>
  <c r="AG247" i="12"/>
  <c r="AK247" i="12"/>
  <c r="AL280" i="12"/>
  <c r="AO247" i="12"/>
  <c r="AP280" i="12"/>
  <c r="AS247" i="12"/>
  <c r="AT280" i="12"/>
  <c r="AW247" i="12"/>
  <c r="AX280" i="12"/>
  <c r="BA247" i="12"/>
  <c r="J281" i="12"/>
  <c r="N281" i="12"/>
  <c r="R281" i="12"/>
  <c r="Q136" i="12"/>
  <c r="U136" i="12"/>
  <c r="V281" i="12"/>
  <c r="Z281" i="12"/>
  <c r="Y136" i="12"/>
  <c r="AD281" i="12"/>
  <c r="AC136" i="12"/>
  <c r="AH281" i="12"/>
  <c r="AG136" i="12"/>
  <c r="AL281" i="12"/>
  <c r="AK136" i="12"/>
  <c r="AP281" i="12"/>
  <c r="AO136" i="12"/>
  <c r="AS136" i="12"/>
  <c r="AT281" i="12"/>
  <c r="BA136" i="12"/>
  <c r="Q71" i="12"/>
  <c r="Q67" i="17" s="1"/>
  <c r="Q72" i="12"/>
  <c r="Q68" i="17" s="1"/>
  <c r="U71" i="12"/>
  <c r="U67" i="17" s="1"/>
  <c r="U72" i="12"/>
  <c r="U68" i="17" s="1"/>
  <c r="Y72" i="12"/>
  <c r="Y68" i="17" s="1"/>
  <c r="Y71" i="12"/>
  <c r="Y67" i="17" s="1"/>
  <c r="AG71" i="12"/>
  <c r="AG67" i="17" s="1"/>
  <c r="AG72" i="12"/>
  <c r="AG68" i="17" s="1"/>
  <c r="AK72" i="12"/>
  <c r="AK68" i="17" s="1"/>
  <c r="AK71" i="12"/>
  <c r="AK67" i="17" s="1"/>
  <c r="AO71" i="12"/>
  <c r="AO67" i="17" s="1"/>
  <c r="AO72" i="12"/>
  <c r="AO68" i="17" s="1"/>
  <c r="AS72" i="12"/>
  <c r="AS71" i="12"/>
  <c r="AW71" i="12"/>
  <c r="AW72" i="12"/>
  <c r="BA72" i="12"/>
  <c r="AQ68" i="17" s="1"/>
  <c r="BA71" i="12"/>
  <c r="AQ67" i="17" s="1"/>
  <c r="R75" i="12"/>
  <c r="R76" i="12"/>
  <c r="AH76" i="12"/>
  <c r="AH75" i="12"/>
  <c r="AX75" i="12"/>
  <c r="AX76" i="12"/>
  <c r="S283" i="12"/>
  <c r="R183" i="12"/>
  <c r="AI283" i="12"/>
  <c r="AH183" i="12"/>
  <c r="AX183" i="12"/>
  <c r="AY283" i="12"/>
  <c r="R184" i="12"/>
  <c r="R221" i="12"/>
  <c r="S284" i="12"/>
  <c r="AI284" i="12"/>
  <c r="AH184" i="12"/>
  <c r="AH221" i="12"/>
  <c r="AX184" i="12"/>
  <c r="AY284" i="12"/>
  <c r="AX221" i="12"/>
  <c r="S285" i="12"/>
  <c r="R185" i="12"/>
  <c r="AI285" i="12"/>
  <c r="AH185" i="12"/>
  <c r="AY285" i="12"/>
  <c r="AX185" i="12"/>
  <c r="R186" i="12"/>
  <c r="R222" i="12"/>
  <c r="S286" i="12"/>
  <c r="AI286" i="12"/>
  <c r="AH186" i="12"/>
  <c r="AH222" i="12"/>
  <c r="AX186" i="12"/>
  <c r="AY286" i="12"/>
  <c r="AX222" i="12"/>
  <c r="S287" i="12"/>
  <c r="R187" i="12"/>
  <c r="AH187" i="12"/>
  <c r="AI287" i="12"/>
  <c r="AX187" i="12"/>
  <c r="AY287" i="12"/>
  <c r="R188" i="12"/>
  <c r="S288" i="12"/>
  <c r="AH188" i="12"/>
  <c r="AI288" i="12"/>
  <c r="AY288" i="12"/>
  <c r="AX188" i="12"/>
  <c r="S289" i="12"/>
  <c r="R189" i="12"/>
  <c r="AI289" i="12"/>
  <c r="AH189" i="12"/>
  <c r="AX189" i="12"/>
  <c r="AY289" i="12"/>
  <c r="R190" i="12"/>
  <c r="S290" i="12"/>
  <c r="AI290" i="12"/>
  <c r="AH190" i="12"/>
  <c r="AX190" i="12"/>
  <c r="AY290" i="12"/>
  <c r="W191" i="12"/>
  <c r="O204" i="12"/>
  <c r="O76" i="12"/>
  <c r="O75" i="12"/>
  <c r="S76" i="12"/>
  <c r="S75" i="12"/>
  <c r="W76" i="12"/>
  <c r="W75" i="12"/>
  <c r="AA75" i="12"/>
  <c r="AA76" i="12"/>
  <c r="AE76" i="12"/>
  <c r="AE75" i="12"/>
  <c r="AI76" i="12"/>
  <c r="AI75" i="12"/>
  <c r="AM76" i="12"/>
  <c r="AM75" i="12"/>
  <c r="AQ76" i="12"/>
  <c r="AQ75" i="12"/>
  <c r="AU76" i="12"/>
  <c r="AU75" i="12"/>
  <c r="AY75" i="12"/>
  <c r="AY76" i="12"/>
  <c r="H283" i="12"/>
  <c r="L283" i="12"/>
  <c r="M283" i="12"/>
  <c r="P283" i="12"/>
  <c r="O183" i="12"/>
  <c r="S183" i="12"/>
  <c r="T283" i="12"/>
  <c r="W183" i="12"/>
  <c r="X283" i="12"/>
  <c r="AB283" i="12"/>
  <c r="AA183" i="12"/>
  <c r="AF283" i="12"/>
  <c r="AE183" i="12"/>
  <c r="AI183" i="12"/>
  <c r="AJ283" i="12"/>
  <c r="AM183" i="12"/>
  <c r="AN283" i="12"/>
  <c r="AQ183" i="12"/>
  <c r="AR283" i="12"/>
  <c r="AU183" i="12"/>
  <c r="AV283" i="12"/>
  <c r="AZ283" i="12"/>
  <c r="AY183" i="12"/>
  <c r="H284" i="12"/>
  <c r="G221" i="12"/>
  <c r="K221" i="12"/>
  <c r="L284" i="12"/>
  <c r="M284" i="12"/>
  <c r="P284" i="12"/>
  <c r="O184" i="12"/>
  <c r="O221" i="12"/>
  <c r="T284" i="12"/>
  <c r="S221" i="12"/>
  <c r="S184" i="12"/>
  <c r="X284" i="12"/>
  <c r="W221" i="12"/>
  <c r="W184" i="12"/>
  <c r="AA184" i="12"/>
  <c r="AB284" i="12"/>
  <c r="AA221" i="12"/>
  <c r="AF284" i="12"/>
  <c r="AE184" i="12"/>
  <c r="AE221" i="12"/>
  <c r="AJ284" i="12"/>
  <c r="AI184" i="12"/>
  <c r="AI221" i="12"/>
  <c r="AM184" i="12"/>
  <c r="AM221" i="12"/>
  <c r="AN284" i="12"/>
  <c r="AQ184" i="12"/>
  <c r="AQ221" i="12"/>
  <c r="AR284" i="12"/>
  <c r="AV284" i="12"/>
  <c r="AU184" i="12"/>
  <c r="AU221" i="12"/>
  <c r="AY184" i="12"/>
  <c r="AZ284" i="12"/>
  <c r="AY221" i="12"/>
  <c r="H285" i="12"/>
  <c r="L285" i="12"/>
  <c r="M285" i="12"/>
  <c r="O185" i="12"/>
  <c r="P285" i="12"/>
  <c r="T285" i="12"/>
  <c r="S185" i="12"/>
  <c r="X285" i="12"/>
  <c r="W185" i="12"/>
  <c r="AB285" i="12"/>
  <c r="AA185" i="12"/>
  <c r="AE185" i="12"/>
  <c r="AF285" i="12"/>
  <c r="AJ285" i="12"/>
  <c r="AI185" i="12"/>
  <c r="AM185" i="12"/>
  <c r="AN285" i="12"/>
  <c r="AQ185" i="12"/>
  <c r="AR285" i="12"/>
  <c r="AU185" i="12"/>
  <c r="AV285" i="12"/>
  <c r="AZ285" i="12"/>
  <c r="AY185" i="12"/>
  <c r="H286" i="12"/>
  <c r="G222" i="12"/>
  <c r="L286" i="12"/>
  <c r="M286" i="12"/>
  <c r="K222" i="12"/>
  <c r="O222" i="12"/>
  <c r="O186" i="12"/>
  <c r="P286" i="12"/>
  <c r="S222" i="12"/>
  <c r="T286" i="12"/>
  <c r="S186" i="12"/>
  <c r="X286" i="12"/>
  <c r="W186" i="12"/>
  <c r="W222" i="12"/>
  <c r="AA186" i="12"/>
  <c r="AA222" i="12"/>
  <c r="AB286" i="12"/>
  <c r="AF286" i="12"/>
  <c r="AE222" i="12"/>
  <c r="AE186" i="12"/>
  <c r="AI222" i="12"/>
  <c r="AJ286" i="12"/>
  <c r="AI186" i="12"/>
  <c r="AM186" i="12"/>
  <c r="AM222" i="12"/>
  <c r="AN286" i="12"/>
  <c r="AQ222" i="12"/>
  <c r="AQ186" i="12"/>
  <c r="AR286" i="12"/>
  <c r="AU186" i="12"/>
  <c r="AU222" i="12"/>
  <c r="AV286" i="12"/>
  <c r="AY186" i="12"/>
  <c r="AY222" i="12"/>
  <c r="AZ286" i="12"/>
  <c r="H287" i="12"/>
  <c r="M287" i="12"/>
  <c r="L287" i="12"/>
  <c r="O187" i="12"/>
  <c r="P287" i="12"/>
  <c r="S187" i="12"/>
  <c r="T287" i="12"/>
  <c r="W187" i="12"/>
  <c r="X287" i="12"/>
  <c r="AB287" i="12"/>
  <c r="AA187" i="12"/>
  <c r="AF287" i="12"/>
  <c r="AE187" i="12"/>
  <c r="AI187" i="12"/>
  <c r="AJ287" i="12"/>
  <c r="AM187" i="12"/>
  <c r="AN287" i="12"/>
  <c r="AR287" i="12"/>
  <c r="AQ187" i="12"/>
  <c r="AV287" i="12"/>
  <c r="AU187" i="12"/>
  <c r="AZ287" i="12"/>
  <c r="AY187" i="12"/>
  <c r="H288" i="12"/>
  <c r="L288" i="12"/>
  <c r="M288" i="12"/>
  <c r="O188" i="12"/>
  <c r="P288" i="12"/>
  <c r="S188" i="12"/>
  <c r="T288" i="12"/>
  <c r="X288" i="12"/>
  <c r="W188" i="12"/>
  <c r="AB288" i="12"/>
  <c r="AA188" i="12"/>
  <c r="AF288" i="12"/>
  <c r="AE188" i="12"/>
  <c r="AJ288" i="12"/>
  <c r="AI188" i="12"/>
  <c r="AM188" i="12"/>
  <c r="AN288" i="12"/>
  <c r="AQ188" i="12"/>
  <c r="AR288" i="12"/>
  <c r="AU188" i="12"/>
  <c r="AV288" i="12"/>
  <c r="AY188" i="12"/>
  <c r="AZ288" i="12"/>
  <c r="H289" i="12"/>
  <c r="L289" i="12"/>
  <c r="M289" i="12"/>
  <c r="P289" i="12"/>
  <c r="O189" i="12"/>
  <c r="T289" i="12"/>
  <c r="S189" i="12"/>
  <c r="X289" i="12"/>
  <c r="W189" i="12"/>
  <c r="AB289" i="12"/>
  <c r="AA189" i="12"/>
  <c r="AF289" i="12"/>
  <c r="AE189" i="12"/>
  <c r="AJ289" i="12"/>
  <c r="AI189" i="12"/>
  <c r="AN289" i="12"/>
  <c r="AM189" i="12"/>
  <c r="AR289" i="12"/>
  <c r="AQ189" i="12"/>
  <c r="AV289" i="12"/>
  <c r="AU189" i="12"/>
  <c r="AZ289" i="12"/>
  <c r="AY189" i="12"/>
  <c r="H290" i="12"/>
  <c r="L290" i="12"/>
  <c r="M290" i="12"/>
  <c r="P290" i="12"/>
  <c r="O190" i="12"/>
  <c r="S190" i="12"/>
  <c r="T290" i="12"/>
  <c r="X290" i="12"/>
  <c r="W190" i="12"/>
  <c r="AA190" i="12"/>
  <c r="AB290" i="12"/>
  <c r="AE190" i="12"/>
  <c r="AF290" i="12"/>
  <c r="AI190" i="12"/>
  <c r="AJ290" i="12"/>
  <c r="AN290" i="12"/>
  <c r="AM190" i="12"/>
  <c r="AQ190" i="12"/>
  <c r="AR290" i="12"/>
  <c r="AV290" i="12"/>
  <c r="AU190" i="12"/>
  <c r="AZ290" i="12"/>
  <c r="AY190" i="12"/>
  <c r="P191" i="12"/>
  <c r="X191" i="12"/>
  <c r="AF191" i="12"/>
  <c r="AN191" i="12"/>
  <c r="AV191" i="12"/>
  <c r="W140" i="12"/>
  <c r="W141" i="12"/>
  <c r="G203" i="12"/>
  <c r="AM143" i="12"/>
  <c r="AM142" i="12"/>
  <c r="AM203" i="12"/>
  <c r="W204" i="12"/>
  <c r="P76" i="12"/>
  <c r="T76" i="12"/>
  <c r="T75" i="12"/>
  <c r="X75" i="12"/>
  <c r="X76" i="12"/>
  <c r="AB75" i="12"/>
  <c r="AB76" i="12"/>
  <c r="AF75" i="12"/>
  <c r="AF76" i="12"/>
  <c r="AJ76" i="12"/>
  <c r="AJ75" i="12"/>
  <c r="AN75" i="12"/>
  <c r="AN76" i="12"/>
  <c r="AR76" i="12"/>
  <c r="AR75" i="12"/>
  <c r="AV76" i="12"/>
  <c r="AV75" i="12"/>
  <c r="AZ76" i="12"/>
  <c r="AZ75" i="12"/>
  <c r="I283" i="12"/>
  <c r="P183" i="12"/>
  <c r="Q283" i="12"/>
  <c r="U283" i="12"/>
  <c r="T183" i="12"/>
  <c r="Y283" i="12"/>
  <c r="X183" i="12"/>
  <c r="AC283" i="12"/>
  <c r="AB183" i="12"/>
  <c r="AF183" i="12"/>
  <c r="AG283" i="12"/>
  <c r="AJ183" i="12"/>
  <c r="AK283" i="12"/>
  <c r="AN183" i="12"/>
  <c r="AO283" i="12"/>
  <c r="AS283" i="12"/>
  <c r="AR183" i="12"/>
  <c r="AW283" i="12"/>
  <c r="AV183" i="12"/>
  <c r="AZ183" i="12"/>
  <c r="BA283" i="12"/>
  <c r="I284" i="12"/>
  <c r="H221" i="12"/>
  <c r="L221" i="12"/>
  <c r="P184" i="12"/>
  <c r="Q284" i="12"/>
  <c r="P221" i="12"/>
  <c r="T184" i="12"/>
  <c r="U284" i="12"/>
  <c r="T221" i="12"/>
  <c r="X184" i="12"/>
  <c r="X221" i="12"/>
  <c r="Y284" i="12"/>
  <c r="AC284" i="12"/>
  <c r="AB184" i="12"/>
  <c r="AB221" i="12"/>
  <c r="AF184" i="12"/>
  <c r="AG284" i="12"/>
  <c r="AF221" i="12"/>
  <c r="AJ184" i="12"/>
  <c r="AK284" i="12"/>
  <c r="AJ221" i="12"/>
  <c r="AN184" i="12"/>
  <c r="AO284" i="12"/>
  <c r="AN221" i="12"/>
  <c r="AS284" i="12"/>
  <c r="AR221" i="12"/>
  <c r="AR184" i="12"/>
  <c r="AV221" i="12"/>
  <c r="AW284" i="12"/>
  <c r="AZ184" i="12"/>
  <c r="AZ221" i="12"/>
  <c r="BA284" i="12"/>
  <c r="I285" i="12"/>
  <c r="P185" i="12"/>
  <c r="Q285" i="12"/>
  <c r="U285" i="12"/>
  <c r="T185" i="12"/>
  <c r="X185" i="12"/>
  <c r="Y285" i="12"/>
  <c r="AB185" i="12"/>
  <c r="AC285" i="12"/>
  <c r="AG285" i="12"/>
  <c r="AF185" i="12"/>
  <c r="AK285" i="12"/>
  <c r="AJ185" i="12"/>
  <c r="AO285" i="12"/>
  <c r="AN185" i="12"/>
  <c r="AS285" i="12"/>
  <c r="AR185" i="12"/>
  <c r="AW285" i="12"/>
  <c r="AV185" i="12"/>
  <c r="AZ185" i="12"/>
  <c r="BA285" i="12"/>
  <c r="H222" i="12"/>
  <c r="I286" i="12"/>
  <c r="L222" i="12"/>
  <c r="P186" i="12"/>
  <c r="Q286" i="12"/>
  <c r="P222" i="12"/>
  <c r="T222" i="12"/>
  <c r="U286" i="12"/>
  <c r="T186" i="12"/>
  <c r="Y286" i="12"/>
  <c r="X186" i="12"/>
  <c r="X222" i="12"/>
  <c r="AB186" i="12"/>
  <c r="AB222" i="12"/>
  <c r="AC286" i="12"/>
  <c r="AF186" i="12"/>
  <c r="AF222" i="12"/>
  <c r="AG286" i="12"/>
  <c r="AJ186" i="12"/>
  <c r="AJ222" i="12"/>
  <c r="AK286" i="12"/>
  <c r="AN186" i="12"/>
  <c r="AN222" i="12"/>
  <c r="AO286" i="12"/>
  <c r="AS286" i="12"/>
  <c r="AR222" i="12"/>
  <c r="AR186" i="12"/>
  <c r="AW286" i="12"/>
  <c r="AV186" i="12"/>
  <c r="AV222" i="12"/>
  <c r="BA286" i="12"/>
  <c r="AZ186" i="12"/>
  <c r="AZ222" i="12"/>
  <c r="I287" i="12"/>
  <c r="P187" i="12"/>
  <c r="Q287" i="12"/>
  <c r="U287" i="12"/>
  <c r="T187" i="12"/>
  <c r="X187" i="12"/>
  <c r="Y287" i="12"/>
  <c r="AC287" i="12"/>
  <c r="AB187" i="12"/>
  <c r="AF187" i="12"/>
  <c r="AG287" i="12"/>
  <c r="AK287" i="12"/>
  <c r="AJ187" i="12"/>
  <c r="AN187" i="12"/>
  <c r="AO287" i="12"/>
  <c r="AR187" i="12"/>
  <c r="AS287" i="12"/>
  <c r="AV187" i="12"/>
  <c r="AW287" i="12"/>
  <c r="BA287" i="12"/>
  <c r="AZ187" i="12"/>
  <c r="I288" i="12"/>
  <c r="Q288" i="12"/>
  <c r="P188" i="12"/>
  <c r="U288" i="12"/>
  <c r="T188" i="12"/>
  <c r="X188" i="12"/>
  <c r="Y288" i="12"/>
  <c r="AC288" i="12"/>
  <c r="AB188" i="12"/>
  <c r="AG288" i="12"/>
  <c r="AF188" i="12"/>
  <c r="AK288" i="12"/>
  <c r="AJ188" i="12"/>
  <c r="AO288" i="12"/>
  <c r="AN188" i="12"/>
  <c r="AR188" i="12"/>
  <c r="AS288" i="12"/>
  <c r="AW288" i="12"/>
  <c r="AV188" i="12"/>
  <c r="BA288" i="12"/>
  <c r="AZ188" i="12"/>
  <c r="I289" i="12"/>
  <c r="Q289" i="12"/>
  <c r="P189" i="12"/>
  <c r="U289" i="12"/>
  <c r="T189" i="12"/>
  <c r="X189" i="12"/>
  <c r="Y289" i="12"/>
  <c r="AC289" i="12"/>
  <c r="AB189" i="12"/>
  <c r="AG289" i="12"/>
  <c r="AF189" i="12"/>
  <c r="AK289" i="12"/>
  <c r="AJ189" i="12"/>
  <c r="AN189" i="12"/>
  <c r="AO289" i="12"/>
  <c r="AR189" i="12"/>
  <c r="AS289" i="12"/>
  <c r="AW289" i="12"/>
  <c r="AV189" i="12"/>
  <c r="AZ189" i="12"/>
  <c r="BA289" i="12"/>
  <c r="P190" i="12"/>
  <c r="Q290" i="12"/>
  <c r="U290" i="12"/>
  <c r="T190" i="12"/>
  <c r="X190" i="12"/>
  <c r="Y290" i="12"/>
  <c r="AB190" i="12"/>
  <c r="AC290" i="12"/>
  <c r="AF190" i="12"/>
  <c r="AG290" i="12"/>
  <c r="AK290" i="12"/>
  <c r="AJ190" i="12"/>
  <c r="AN190" i="12"/>
  <c r="AO290" i="12"/>
  <c r="AR190" i="12"/>
  <c r="AS290" i="12"/>
  <c r="AV190" i="12"/>
  <c r="AW290" i="12"/>
  <c r="BA290" i="12"/>
  <c r="AZ190" i="12"/>
  <c r="S191" i="12"/>
  <c r="AA191" i="12"/>
  <c r="AI191" i="12"/>
  <c r="AQ191" i="12"/>
  <c r="AY191" i="12"/>
  <c r="AE140" i="12"/>
  <c r="AE141" i="12"/>
  <c r="O142" i="12"/>
  <c r="O203" i="12"/>
  <c r="AU142" i="12"/>
  <c r="AU203" i="12"/>
  <c r="AU143" i="12"/>
  <c r="AE204" i="12"/>
  <c r="Q76" i="12"/>
  <c r="Q75" i="12"/>
  <c r="Y76" i="12"/>
  <c r="Y75" i="12"/>
  <c r="AC75" i="12"/>
  <c r="AC76" i="12"/>
  <c r="AG75" i="12"/>
  <c r="AG76" i="12"/>
  <c r="AK76" i="12"/>
  <c r="AK75" i="12"/>
  <c r="AO75" i="12"/>
  <c r="AO76" i="12"/>
  <c r="AS75" i="12"/>
  <c r="AS76" i="12"/>
  <c r="AW76" i="12"/>
  <c r="AW75" i="12"/>
  <c r="BA76" i="12"/>
  <c r="BA75" i="12"/>
  <c r="J283" i="12"/>
  <c r="N283" i="12"/>
  <c r="Q183" i="12"/>
  <c r="R283" i="12"/>
  <c r="U183" i="12"/>
  <c r="V283" i="12"/>
  <c r="Y183" i="12"/>
  <c r="Z283" i="12"/>
  <c r="AC183" i="12"/>
  <c r="AD283" i="12"/>
  <c r="AG183" i="12"/>
  <c r="AH283" i="12"/>
  <c r="AL283" i="12"/>
  <c r="AK183" i="12"/>
  <c r="AP283" i="12"/>
  <c r="AO183" i="12"/>
  <c r="AS183" i="12"/>
  <c r="AT283" i="12"/>
  <c r="AX283" i="12"/>
  <c r="AW183" i="12"/>
  <c r="BA183" i="12"/>
  <c r="I221" i="12"/>
  <c r="J284" i="12"/>
  <c r="M221" i="12"/>
  <c r="N284" i="12"/>
  <c r="Q184" i="12"/>
  <c r="Q221" i="12"/>
  <c r="R284" i="12"/>
  <c r="V284" i="12"/>
  <c r="U221" i="12"/>
  <c r="U184" i="12"/>
  <c r="Z284" i="12"/>
  <c r="Y184" i="12"/>
  <c r="Y221" i="12"/>
  <c r="AC221" i="12"/>
  <c r="AD284" i="12"/>
  <c r="AC184" i="12"/>
  <c r="AG184" i="12"/>
  <c r="AH284" i="12"/>
  <c r="AG221" i="12"/>
  <c r="AK184" i="12"/>
  <c r="AL284" i="12"/>
  <c r="AO221" i="12"/>
  <c r="AO184" i="12"/>
  <c r="AP284" i="12"/>
  <c r="AT284" i="12"/>
  <c r="AS221" i="12"/>
  <c r="AS184" i="12"/>
  <c r="AX284" i="12"/>
  <c r="AW184" i="12"/>
  <c r="AW221" i="12"/>
  <c r="BA221" i="12"/>
  <c r="BA184" i="12"/>
  <c r="J285" i="12"/>
  <c r="N285" i="12"/>
  <c r="R285" i="12"/>
  <c r="Q185" i="12"/>
  <c r="U185" i="12"/>
  <c r="V285" i="12"/>
  <c r="Y185" i="12"/>
  <c r="Z285" i="12"/>
  <c r="AD285" i="12"/>
  <c r="AC185" i="12"/>
  <c r="AH285" i="12"/>
  <c r="AG185" i="12"/>
  <c r="AL285" i="12"/>
  <c r="AK185" i="12"/>
  <c r="AP285" i="12"/>
  <c r="AO185" i="12"/>
  <c r="AS185" i="12"/>
  <c r="AT285" i="12"/>
  <c r="AX285" i="12"/>
  <c r="AW185" i="12"/>
  <c r="BA185" i="12"/>
  <c r="J286" i="12"/>
  <c r="M222" i="12"/>
  <c r="N286" i="12"/>
  <c r="Q186" i="12"/>
  <c r="R286" i="12"/>
  <c r="Q222" i="12"/>
  <c r="V286" i="12"/>
  <c r="U222" i="12"/>
  <c r="U186" i="12"/>
  <c r="Z286" i="12"/>
  <c r="Y222" i="12"/>
  <c r="AC222" i="12"/>
  <c r="AC186" i="12"/>
  <c r="AD286" i="12"/>
  <c r="AG186" i="12"/>
  <c r="AH286" i="12"/>
  <c r="AG222" i="12"/>
  <c r="AK186" i="12"/>
  <c r="AL286" i="12"/>
  <c r="AP286" i="12"/>
  <c r="AO222" i="12"/>
  <c r="AO186" i="12"/>
  <c r="AT286" i="12"/>
  <c r="AS222" i="12"/>
  <c r="AS186" i="12"/>
  <c r="AW186" i="12"/>
  <c r="AX286" i="12"/>
  <c r="AW222" i="12"/>
  <c r="BA186" i="12"/>
  <c r="BA222" i="12"/>
  <c r="J287" i="12"/>
  <c r="N287" i="12"/>
  <c r="R287" i="12"/>
  <c r="Q187" i="12"/>
  <c r="U187" i="12"/>
  <c r="V287" i="12"/>
  <c r="Y187" i="12"/>
  <c r="Z287" i="12"/>
  <c r="AD287" i="12"/>
  <c r="AC187" i="12"/>
  <c r="AG187" i="12"/>
  <c r="AH287" i="12"/>
  <c r="AL287" i="12"/>
  <c r="AP287" i="12"/>
  <c r="AO187" i="12"/>
  <c r="AW187" i="12"/>
  <c r="AX287" i="12"/>
  <c r="BA187" i="12"/>
  <c r="J288" i="12"/>
  <c r="N288" i="12"/>
  <c r="Q188" i="12"/>
  <c r="R288" i="12"/>
  <c r="V288" i="12"/>
  <c r="U188" i="12"/>
  <c r="Z288" i="12"/>
  <c r="Y188" i="12"/>
  <c r="AC188" i="12"/>
  <c r="AD288" i="12"/>
  <c r="AG188" i="12"/>
  <c r="AH288" i="12"/>
  <c r="AK188" i="12"/>
  <c r="AP288" i="12"/>
  <c r="AO188" i="12"/>
  <c r="AT288" i="12"/>
  <c r="AS188" i="12"/>
  <c r="AW188" i="12"/>
  <c r="AX288" i="12"/>
  <c r="BA188" i="12"/>
  <c r="J289" i="12"/>
  <c r="N289" i="12"/>
  <c r="Q189" i="12"/>
  <c r="R289" i="12"/>
  <c r="U189" i="12"/>
  <c r="V289" i="12"/>
  <c r="Z289" i="12"/>
  <c r="Y189" i="12"/>
  <c r="AD289" i="12"/>
  <c r="AC189" i="12"/>
  <c r="AG189" i="12"/>
  <c r="AH289" i="12"/>
  <c r="AL289" i="12"/>
  <c r="AK189" i="12"/>
  <c r="AO189" i="12"/>
  <c r="AP289" i="12"/>
  <c r="AS189" i="12"/>
  <c r="AT289" i="12"/>
  <c r="AW189" i="12"/>
  <c r="AX289" i="12"/>
  <c r="BA189" i="12"/>
  <c r="N290" i="12"/>
  <c r="Q190" i="12"/>
  <c r="R290" i="12"/>
  <c r="U190" i="12"/>
  <c r="V290" i="12"/>
  <c r="Y190" i="12"/>
  <c r="Z290" i="12"/>
  <c r="AD290" i="12"/>
  <c r="AC190" i="12"/>
  <c r="AG190" i="12"/>
  <c r="AH290" i="12"/>
  <c r="AK190" i="12"/>
  <c r="AP290" i="12"/>
  <c r="AO190" i="12"/>
  <c r="AS190" i="12"/>
  <c r="AT290" i="12"/>
  <c r="AX290" i="12"/>
  <c r="AW190" i="12"/>
  <c r="BA190" i="12"/>
  <c r="T191" i="12"/>
  <c r="AB191" i="12"/>
  <c r="AJ191" i="12"/>
  <c r="AR191" i="12"/>
  <c r="AZ191" i="12"/>
  <c r="AM140" i="12"/>
  <c r="AM141" i="12"/>
  <c r="W143" i="12"/>
  <c r="W203" i="12"/>
  <c r="W142" i="12"/>
  <c r="AM204" i="12"/>
  <c r="AU192" i="12"/>
  <c r="AI192" i="12"/>
  <c r="AC192" i="12"/>
  <c r="AZ192" i="12"/>
  <c r="R192" i="12"/>
  <c r="AD192" i="12"/>
  <c r="N193" i="12"/>
  <c r="AL192" i="12"/>
  <c r="P192" i="12"/>
  <c r="BA192" i="12"/>
  <c r="R140" i="12"/>
  <c r="Z140" i="12"/>
  <c r="AH140" i="12"/>
  <c r="AP140" i="12"/>
  <c r="AX140" i="12"/>
  <c r="R141" i="12"/>
  <c r="Z141" i="12"/>
  <c r="AH141" i="12"/>
  <c r="AP141" i="12"/>
  <c r="AX141" i="12"/>
  <c r="J203" i="12"/>
  <c r="R203" i="12"/>
  <c r="R142" i="12"/>
  <c r="R143" i="12"/>
  <c r="Z203" i="12"/>
  <c r="Z142" i="12"/>
  <c r="Z143" i="12"/>
  <c r="AH203" i="12"/>
  <c r="AH143" i="12"/>
  <c r="AH142" i="12"/>
  <c r="AP203" i="12"/>
  <c r="AP143" i="12"/>
  <c r="AP142" i="12"/>
  <c r="AX203" i="12"/>
  <c r="AX143" i="12"/>
  <c r="AX142" i="12"/>
  <c r="J204" i="12"/>
  <c r="R204" i="12"/>
  <c r="Z204" i="12"/>
  <c r="AH204" i="12"/>
  <c r="AP204" i="12"/>
  <c r="AX204" i="12"/>
  <c r="AD193" i="12"/>
  <c r="Q191" i="12"/>
  <c r="U191" i="12"/>
  <c r="Y191" i="12"/>
  <c r="AC191" i="12"/>
  <c r="AG191" i="12"/>
  <c r="AK191" i="12"/>
  <c r="AO191" i="12"/>
  <c r="AS191" i="12"/>
  <c r="AW191" i="12"/>
  <c r="BA191" i="12"/>
  <c r="S140" i="12"/>
  <c r="AA140" i="12"/>
  <c r="AI140" i="12"/>
  <c r="AQ140" i="12"/>
  <c r="AY140" i="12"/>
  <c r="S141" i="12"/>
  <c r="AA141" i="12"/>
  <c r="AI141" i="12"/>
  <c r="AQ141" i="12"/>
  <c r="AY141" i="12"/>
  <c r="K203" i="12"/>
  <c r="S142" i="12"/>
  <c r="S203" i="12"/>
  <c r="S143" i="12"/>
  <c r="AA203" i="12"/>
  <c r="AA142" i="12"/>
  <c r="AA143" i="12"/>
  <c r="AI203" i="12"/>
  <c r="AI143" i="12"/>
  <c r="AI142" i="12"/>
  <c r="AQ143" i="12"/>
  <c r="AQ203" i="12"/>
  <c r="AQ142" i="12"/>
  <c r="AY142" i="12"/>
  <c r="AY203" i="12"/>
  <c r="AY143" i="12"/>
  <c r="K204" i="12"/>
  <c r="S204" i="12"/>
  <c r="AA204" i="12"/>
  <c r="AI204" i="12"/>
  <c r="AQ204" i="12"/>
  <c r="AY204" i="12"/>
  <c r="AT193" i="12"/>
  <c r="N191" i="12"/>
  <c r="R191" i="12"/>
  <c r="V191" i="12"/>
  <c r="Z191" i="12"/>
  <c r="AH191" i="12"/>
  <c r="AL191" i="12"/>
  <c r="AP191" i="12"/>
  <c r="AT191" i="12"/>
  <c r="AX191" i="12"/>
  <c r="N140" i="12"/>
  <c r="V140" i="12"/>
  <c r="AD140" i="12"/>
  <c r="AL140" i="12"/>
  <c r="AT140" i="12"/>
  <c r="N254" i="12"/>
  <c r="AO254" i="12"/>
  <c r="R254" i="12"/>
  <c r="AK254" i="12"/>
  <c r="AN254" i="12"/>
  <c r="Y254" i="12"/>
  <c r="AI254" i="12"/>
  <c r="AP254" i="12"/>
  <c r="X254" i="12"/>
  <c r="AT254" i="12"/>
  <c r="AS254" i="12"/>
  <c r="U254" i="12"/>
  <c r="AL254" i="12"/>
  <c r="AY254" i="12"/>
  <c r="O254" i="12"/>
  <c r="AH254" i="12"/>
  <c r="P254" i="12"/>
  <c r="AZ254" i="12"/>
  <c r="AM254" i="12"/>
  <c r="Q254" i="12"/>
  <c r="Q255" i="12" s="1"/>
  <c r="T254" i="12"/>
  <c r="AC254" i="12"/>
  <c r="AA254" i="12"/>
  <c r="AG254" i="12"/>
  <c r="AE254" i="12"/>
  <c r="AX254" i="12"/>
  <c r="N141" i="12"/>
  <c r="AB254" i="12"/>
  <c r="AQ254" i="12"/>
  <c r="W254" i="12"/>
  <c r="AF254" i="12"/>
  <c r="V254" i="12"/>
  <c r="BA254" i="12"/>
  <c r="S254" i="12"/>
  <c r="AU254" i="12"/>
  <c r="AW254" i="12"/>
  <c r="AD254" i="12"/>
  <c r="AJ254" i="12"/>
  <c r="AR254" i="12"/>
  <c r="AV254" i="12"/>
  <c r="Z254" i="12"/>
  <c r="V141" i="12"/>
  <c r="AD141" i="12"/>
  <c r="AL141" i="12"/>
  <c r="AT141" i="12"/>
  <c r="F203" i="12"/>
  <c r="N142" i="12"/>
  <c r="N203" i="12"/>
  <c r="N143" i="12"/>
  <c r="V142" i="12"/>
  <c r="V203" i="12"/>
  <c r="V143" i="12"/>
  <c r="AD203" i="12"/>
  <c r="AD142" i="12"/>
  <c r="AD143" i="12"/>
  <c r="AL142" i="12"/>
  <c r="AT203" i="12"/>
  <c r="AT142" i="12"/>
  <c r="AT143" i="12"/>
  <c r="F204" i="12"/>
  <c r="N204" i="12"/>
  <c r="V204" i="12"/>
  <c r="AD204" i="12"/>
  <c r="AL204" i="12"/>
  <c r="AT204" i="12"/>
  <c r="P140" i="12"/>
  <c r="X140" i="12"/>
  <c r="AB140" i="12"/>
  <c r="AF140" i="12"/>
  <c r="AJ140" i="12"/>
  <c r="AN140" i="12"/>
  <c r="AR140" i="12"/>
  <c r="AV140" i="12"/>
  <c r="AZ140" i="12"/>
  <c r="P141" i="12"/>
  <c r="T141" i="12"/>
  <c r="X141" i="12"/>
  <c r="AB141" i="12"/>
  <c r="AF141" i="12"/>
  <c r="AJ141" i="12"/>
  <c r="AN141" i="12"/>
  <c r="AR141" i="12"/>
  <c r="AV141" i="12"/>
  <c r="AZ141" i="12"/>
  <c r="H203" i="12"/>
  <c r="L203" i="12"/>
  <c r="P143" i="12"/>
  <c r="P203" i="12"/>
  <c r="P142" i="12"/>
  <c r="T203" i="12"/>
  <c r="T143" i="12"/>
  <c r="T142" i="12"/>
  <c r="X143" i="12"/>
  <c r="X142" i="12"/>
  <c r="X203" i="12"/>
  <c r="AB142" i="12"/>
  <c r="AB203" i="12"/>
  <c r="AB143" i="12"/>
  <c r="AF142" i="12"/>
  <c r="AF203" i="12"/>
  <c r="AF143" i="12"/>
  <c r="AJ203" i="12"/>
  <c r="AJ143" i="12"/>
  <c r="AJ142" i="12"/>
  <c r="AN143" i="12"/>
  <c r="AN142" i="12"/>
  <c r="AN203" i="12"/>
  <c r="AR142" i="12"/>
  <c r="AR203" i="12"/>
  <c r="AR143" i="12"/>
  <c r="AV143" i="12"/>
  <c r="AV142" i="12"/>
  <c r="AV203" i="12"/>
  <c r="AZ142" i="12"/>
  <c r="AZ143" i="12"/>
  <c r="AZ203" i="12"/>
  <c r="H204" i="12"/>
  <c r="L204" i="12"/>
  <c r="P204" i="12"/>
  <c r="T204" i="12"/>
  <c r="X204" i="12"/>
  <c r="AB204" i="12"/>
  <c r="AF204" i="12"/>
  <c r="AJ204" i="12"/>
  <c r="AN204" i="12"/>
  <c r="AR204" i="12"/>
  <c r="AV204" i="12"/>
  <c r="AZ204" i="12"/>
  <c r="R193" i="12"/>
  <c r="AH193" i="12"/>
  <c r="AX193" i="12"/>
  <c r="Q140" i="12"/>
  <c r="U140" i="12"/>
  <c r="Y140" i="12"/>
  <c r="AC140" i="12"/>
  <c r="AG140" i="12"/>
  <c r="AK140" i="12"/>
  <c r="AO140" i="12"/>
  <c r="AS140" i="12"/>
  <c r="AW140" i="12"/>
  <c r="BA140" i="12"/>
  <c r="Q141" i="12"/>
  <c r="U141" i="12"/>
  <c r="Y141" i="12"/>
  <c r="AC141" i="12"/>
  <c r="AG141" i="12"/>
  <c r="AK141" i="12"/>
  <c r="AO141" i="12"/>
  <c r="AS141" i="12"/>
  <c r="AW141" i="12"/>
  <c r="BA141" i="12"/>
  <c r="I203" i="12"/>
  <c r="M203" i="12"/>
  <c r="Q143" i="12"/>
  <c r="Q142" i="12"/>
  <c r="Q203" i="12"/>
  <c r="U203" i="12"/>
  <c r="U143" i="12"/>
  <c r="U142" i="12"/>
  <c r="Y203" i="12"/>
  <c r="Y143" i="12"/>
  <c r="Y142" i="12"/>
  <c r="AC143" i="12"/>
  <c r="AC203" i="12"/>
  <c r="AC142" i="12"/>
  <c r="AG203" i="12"/>
  <c r="AG143" i="12"/>
  <c r="AG142" i="12"/>
  <c r="AK203" i="12"/>
  <c r="AK142" i="12"/>
  <c r="AK143" i="12"/>
  <c r="AO203" i="12"/>
  <c r="AO143" i="12"/>
  <c r="AO142" i="12"/>
  <c r="AS203" i="12"/>
  <c r="AS142" i="12"/>
  <c r="AS143" i="12"/>
  <c r="AW203" i="12"/>
  <c r="AW142" i="12"/>
  <c r="AW143" i="12"/>
  <c r="BA143" i="12"/>
  <c r="BA203" i="12"/>
  <c r="BA142" i="12"/>
  <c r="I204" i="12"/>
  <c r="M204" i="12"/>
  <c r="Q204" i="12"/>
  <c r="U204" i="12"/>
  <c r="Y204" i="12"/>
  <c r="AC204" i="12"/>
  <c r="AG204" i="12"/>
  <c r="AK204" i="12"/>
  <c r="AO204" i="12"/>
  <c r="AS204" i="12"/>
  <c r="AW204" i="12"/>
  <c r="BA204" i="12"/>
  <c r="V193" i="12"/>
  <c r="AL193" i="12"/>
  <c r="Z193" i="12"/>
  <c r="AP193" i="12"/>
  <c r="O193" i="12"/>
  <c r="S193" i="12"/>
  <c r="W193" i="12"/>
  <c r="AA193" i="12"/>
  <c r="AE193" i="12"/>
  <c r="AI193" i="12"/>
  <c r="AM193" i="12"/>
  <c r="AQ193" i="12"/>
  <c r="AU193" i="12"/>
  <c r="AY193" i="12"/>
  <c r="P193" i="12"/>
  <c r="T193" i="12"/>
  <c r="X193" i="12"/>
  <c r="AB193" i="12"/>
  <c r="AF193" i="12"/>
  <c r="AJ193" i="12"/>
  <c r="AN193" i="12"/>
  <c r="AR193" i="12"/>
  <c r="AV193" i="12"/>
  <c r="AZ193" i="12"/>
  <c r="Q193" i="12"/>
  <c r="U193" i="12"/>
  <c r="Y193" i="12"/>
  <c r="AC193" i="12"/>
  <c r="AG193" i="12"/>
  <c r="AK193" i="12"/>
  <c r="AO193" i="12"/>
  <c r="AW193" i="12"/>
  <c r="BA193" i="12"/>
  <c r="O4" i="9"/>
  <c r="N5" i="12" s="1"/>
  <c r="O3" i="9"/>
  <c r="N4" i="12" s="1"/>
  <c r="P193" i="16"/>
  <c r="O193" i="16"/>
  <c r="AW142" i="16"/>
  <c r="AX141" i="16"/>
  <c r="AQ141" i="16"/>
  <c r="AP141" i="16"/>
  <c r="AI141" i="16"/>
  <c r="AE141" i="16"/>
  <c r="AD141" i="16"/>
  <c r="V141" i="16"/>
  <c r="R141" i="16"/>
  <c r="AX254" i="16"/>
  <c r="AT254" i="16"/>
  <c r="AW254" i="16"/>
  <c r="AY254" i="16"/>
  <c r="AR254" i="16"/>
  <c r="AQ91" i="16"/>
  <c r="AQ191" i="16" s="1"/>
  <c r="AI91" i="16"/>
  <c r="AI191" i="16" s="1"/>
  <c r="AA91" i="16"/>
  <c r="AA191" i="16" s="1"/>
  <c r="W91" i="16"/>
  <c r="W191" i="16" s="1"/>
  <c r="O91" i="16"/>
  <c r="O191" i="16" s="1"/>
  <c r="Z190" i="16"/>
  <c r="N51" i="16"/>
  <c r="N181" i="16" s="1"/>
  <c r="AT48" i="16"/>
  <c r="AT179" i="16"/>
  <c r="AI48" i="16"/>
  <c r="AI179" i="16" s="1"/>
  <c r="I217" i="16"/>
  <c r="T175" i="16"/>
  <c r="AC35" i="16"/>
  <c r="AZ174" i="16"/>
  <c r="AY174" i="16"/>
  <c r="AU174" i="16"/>
  <c r="AN174" i="16"/>
  <c r="AF174" i="16"/>
  <c r="AB174" i="16"/>
  <c r="AA174" i="16"/>
  <c r="W174" i="16"/>
  <c r="T174" i="16"/>
  <c r="S174" i="16"/>
  <c r="O174" i="16"/>
  <c r="AC200" i="16"/>
  <c r="U35" i="16"/>
  <c r="AZ173" i="16"/>
  <c r="AU173" i="16"/>
  <c r="AN173" i="16"/>
  <c r="AF173" i="16"/>
  <c r="AB173" i="16"/>
  <c r="AA173" i="16"/>
  <c r="W173" i="16"/>
  <c r="T173" i="16"/>
  <c r="S173" i="16"/>
  <c r="O173" i="16"/>
  <c r="T170" i="16"/>
  <c r="P163" i="16"/>
  <c r="AZ151" i="16"/>
  <c r="P151" i="16"/>
  <c r="AS228" i="16"/>
  <c r="AS246" i="16"/>
  <c r="AS148" i="16"/>
  <c r="AS219" i="16"/>
  <c r="AS223" i="16"/>
  <c r="AT267" i="16"/>
  <c r="AS10" i="16"/>
  <c r="AS227" i="16"/>
  <c r="AI128" i="12"/>
  <c r="AA127" i="12"/>
  <c r="S127" i="12"/>
  <c r="AW203" i="16"/>
  <c r="AW143" i="16"/>
  <c r="AG143" i="16"/>
  <c r="AG203" i="16"/>
  <c r="AG142" i="16"/>
  <c r="Q203" i="16"/>
  <c r="Q143" i="16"/>
  <c r="Q142" i="16"/>
  <c r="AW141" i="16"/>
  <c r="AG141" i="16"/>
  <c r="Q141" i="16"/>
  <c r="AW140" i="16"/>
  <c r="AG140" i="16"/>
  <c r="Q140" i="16"/>
  <c r="AN203" i="16"/>
  <c r="AN143" i="16"/>
  <c r="AN142" i="16"/>
  <c r="X203" i="16"/>
  <c r="X143" i="16"/>
  <c r="X142" i="16"/>
  <c r="H203" i="16"/>
  <c r="AN141" i="16"/>
  <c r="X141" i="16"/>
  <c r="AN140" i="16"/>
  <c r="X140" i="16"/>
  <c r="V142" i="16"/>
  <c r="V203" i="16"/>
  <c r="V143" i="16"/>
  <c r="AL140" i="16"/>
  <c r="AP91" i="16"/>
  <c r="AP191" i="16" s="1"/>
  <c r="Z91" i="16"/>
  <c r="Z191" i="16" s="1"/>
  <c r="AI143" i="16"/>
  <c r="AI142" i="16"/>
  <c r="AI203" i="16"/>
  <c r="AY141" i="16"/>
  <c r="S141" i="16"/>
  <c r="AY140" i="16"/>
  <c r="S140" i="16"/>
  <c r="AW91" i="16"/>
  <c r="AW191" i="16" s="1"/>
  <c r="AG91" i="16"/>
  <c r="AG191" i="16" s="1"/>
  <c r="Q91" i="16"/>
  <c r="Q191" i="16" s="1"/>
  <c r="AP203" i="16"/>
  <c r="AP143" i="16"/>
  <c r="AP142" i="16"/>
  <c r="J203" i="16"/>
  <c r="Z141" i="16"/>
  <c r="L66" i="16"/>
  <c r="L52" i="17"/>
  <c r="Q193" i="16"/>
  <c r="AS203" i="16"/>
  <c r="AS143" i="16"/>
  <c r="AS142" i="16"/>
  <c r="AC142" i="16"/>
  <c r="AC203" i="16"/>
  <c r="AC143" i="16"/>
  <c r="M203" i="16"/>
  <c r="AS141" i="16"/>
  <c r="AC141" i="16"/>
  <c r="AS140" i="16"/>
  <c r="AC140" i="16"/>
  <c r="AZ203" i="16"/>
  <c r="AZ143" i="16"/>
  <c r="AZ142" i="16"/>
  <c r="AJ203" i="16"/>
  <c r="AJ142" i="16"/>
  <c r="AJ143" i="16"/>
  <c r="T143" i="16"/>
  <c r="T203" i="16"/>
  <c r="T142" i="16"/>
  <c r="AZ141" i="16"/>
  <c r="AJ141" i="16"/>
  <c r="T141" i="16"/>
  <c r="AJ140" i="16"/>
  <c r="AZ140" i="16"/>
  <c r="AT143" i="16"/>
  <c r="AT142" i="16"/>
  <c r="AT203" i="16"/>
  <c r="N203" i="16"/>
  <c r="N143" i="16"/>
  <c r="N142" i="16"/>
  <c r="AD140" i="16"/>
  <c r="AL91" i="16"/>
  <c r="AL191" i="16" s="1"/>
  <c r="V91" i="16"/>
  <c r="V191" i="16" s="1"/>
  <c r="AA143" i="16"/>
  <c r="AA203" i="16"/>
  <c r="AA142" i="16"/>
  <c r="AS91" i="16"/>
  <c r="AS191" i="16" s="1"/>
  <c r="M91" i="16"/>
  <c r="AH142" i="16"/>
  <c r="AH143" i="16"/>
  <c r="AH203" i="16"/>
  <c r="AX140" i="16"/>
  <c r="R140" i="16"/>
  <c r="AV91" i="16"/>
  <c r="AV191" i="16" s="1"/>
  <c r="AF91" i="16"/>
  <c r="AF191" i="16" s="1"/>
  <c r="P91" i="16"/>
  <c r="P191" i="16" s="1"/>
  <c r="AT290" i="16"/>
  <c r="AS190" i="16"/>
  <c r="AD290" i="16"/>
  <c r="AC190" i="16"/>
  <c r="AT289" i="16"/>
  <c r="AS189" i="16"/>
  <c r="AC189" i="16"/>
  <c r="AD289" i="16"/>
  <c r="AS188" i="16"/>
  <c r="AT288" i="16"/>
  <c r="AC188" i="16"/>
  <c r="AD288" i="16"/>
  <c r="AD287" i="16"/>
  <c r="AC187" i="16"/>
  <c r="AS222" i="16"/>
  <c r="AS186" i="16"/>
  <c r="AT286" i="16"/>
  <c r="AC222" i="16"/>
  <c r="AD286" i="16"/>
  <c r="AC186" i="16"/>
  <c r="AT285" i="16"/>
  <c r="AS185" i="16"/>
  <c r="AC185" i="16"/>
  <c r="AD285" i="16"/>
  <c r="AS221" i="16"/>
  <c r="AS184" i="16"/>
  <c r="AT284" i="16"/>
  <c r="AD284" i="16"/>
  <c r="AC184" i="16"/>
  <c r="AC221" i="16"/>
  <c r="N284" i="16"/>
  <c r="M221" i="16"/>
  <c r="AS183" i="16"/>
  <c r="AT283" i="16"/>
  <c r="AD283" i="16"/>
  <c r="AC183" i="16"/>
  <c r="O203" i="16"/>
  <c r="O142" i="16"/>
  <c r="AE140" i="16"/>
  <c r="AM91" i="16"/>
  <c r="AM191" i="16" s="1"/>
  <c r="AO290" i="16"/>
  <c r="AN190" i="16"/>
  <c r="X190" i="16"/>
  <c r="Y290" i="16"/>
  <c r="AO289" i="16"/>
  <c r="AN189" i="16"/>
  <c r="AO203" i="16"/>
  <c r="AO142" i="16"/>
  <c r="AO143" i="16"/>
  <c r="Y142" i="16"/>
  <c r="Y143" i="16"/>
  <c r="I203" i="16"/>
  <c r="AO141" i="16"/>
  <c r="AO140" i="16"/>
  <c r="Y140" i="16"/>
  <c r="AV203" i="16"/>
  <c r="AV142" i="16"/>
  <c r="AV143" i="16"/>
  <c r="AF203" i="16"/>
  <c r="AF142" i="16"/>
  <c r="P143" i="16"/>
  <c r="P203" i="16"/>
  <c r="P142" i="16"/>
  <c r="AV141" i="16"/>
  <c r="AF141" i="16"/>
  <c r="AV140" i="16"/>
  <c r="AF140" i="16"/>
  <c r="AX91" i="16"/>
  <c r="AX191" i="16" s="1"/>
  <c r="AH91" i="16"/>
  <c r="AH191" i="16" s="1"/>
  <c r="R91" i="16"/>
  <c r="R191" i="16" s="1"/>
  <c r="AY142" i="16"/>
  <c r="AY143" i="16"/>
  <c r="AY203" i="16"/>
  <c r="S203" i="16"/>
  <c r="S143" i="16"/>
  <c r="S142" i="16"/>
  <c r="AI140" i="16"/>
  <c r="AO91" i="16"/>
  <c r="AO191" i="16" s="1"/>
  <c r="Y91" i="16"/>
  <c r="Y191" i="16" s="1"/>
  <c r="Z142" i="16"/>
  <c r="Z203" i="16"/>
  <c r="Z143" i="16"/>
  <c r="AP140" i="16"/>
  <c r="AR91" i="16"/>
  <c r="AR191" i="16" s="1"/>
  <c r="AB91" i="16"/>
  <c r="AB191" i="16" s="1"/>
  <c r="W141" i="16"/>
  <c r="W142" i="16"/>
  <c r="W203" i="16"/>
  <c r="W143" i="16"/>
  <c r="AM140" i="16"/>
  <c r="AO190" i="16"/>
  <c r="AP290" i="16"/>
  <c r="Y190" i="16"/>
  <c r="Z290" i="16"/>
  <c r="AP289" i="16"/>
  <c r="AO189" i="16"/>
  <c r="Z289" i="16"/>
  <c r="Y189" i="16"/>
  <c r="AP288" i="16"/>
  <c r="AO188" i="16"/>
  <c r="Z288" i="16"/>
  <c r="Y188" i="16"/>
  <c r="AP287" i="16"/>
  <c r="AO187" i="16"/>
  <c r="Y187" i="16"/>
  <c r="Z287" i="16"/>
  <c r="AP286" i="16"/>
  <c r="AO222" i="16"/>
  <c r="AO186" i="16"/>
  <c r="Y222" i="16"/>
  <c r="Z286" i="16"/>
  <c r="J286" i="16"/>
  <c r="AO185" i="16"/>
  <c r="AP285" i="16"/>
  <c r="Y185" i="16"/>
  <c r="Z285" i="16"/>
  <c r="AO184" i="16"/>
  <c r="AO221" i="16"/>
  <c r="AP284" i="16"/>
  <c r="Y184" i="16"/>
  <c r="Z284" i="16"/>
  <c r="Y221" i="16"/>
  <c r="I221" i="16"/>
  <c r="J284" i="16"/>
  <c r="AP283" i="16"/>
  <c r="AO183" i="16"/>
  <c r="Z283" i="16"/>
  <c r="Y183" i="16"/>
  <c r="AZ190" i="16"/>
  <c r="BA290" i="16"/>
  <c r="AJ190" i="16"/>
  <c r="AK290" i="16"/>
  <c r="U290" i="16"/>
  <c r="T190" i="16"/>
  <c r="AZ189" i="16"/>
  <c r="BA289" i="16"/>
  <c r="AK289" i="16"/>
  <c r="AJ189" i="16"/>
  <c r="U289" i="16"/>
  <c r="T189" i="16"/>
  <c r="AZ188" i="16"/>
  <c r="BA288" i="16"/>
  <c r="AJ188" i="16"/>
  <c r="AK288" i="16"/>
  <c r="T188" i="16"/>
  <c r="U288" i="16"/>
  <c r="AZ187" i="16"/>
  <c r="BA287" i="16"/>
  <c r="AJ187" i="16"/>
  <c r="AK287" i="16"/>
  <c r="T187" i="16"/>
  <c r="U287" i="16"/>
  <c r="AZ222" i="16"/>
  <c r="BA286" i="16"/>
  <c r="AZ186" i="16"/>
  <c r="AK286" i="16"/>
  <c r="AJ222" i="16"/>
  <c r="AJ186" i="16"/>
  <c r="U286" i="16"/>
  <c r="T186" i="16"/>
  <c r="AJ185" i="16"/>
  <c r="AK285" i="16"/>
  <c r="AZ184" i="16"/>
  <c r="AZ221" i="16"/>
  <c r="BA284" i="16"/>
  <c r="AJ221" i="16"/>
  <c r="AK284" i="16"/>
  <c r="AJ184" i="16"/>
  <c r="T221" i="16"/>
  <c r="U284" i="16"/>
  <c r="T184" i="16"/>
  <c r="AZ183" i="16"/>
  <c r="BA283" i="16"/>
  <c r="AK283" i="16"/>
  <c r="AJ183" i="16"/>
  <c r="T183" i="16"/>
  <c r="U283" i="16"/>
  <c r="W140" i="16"/>
  <c r="AM190" i="16"/>
  <c r="AN290" i="16"/>
  <c r="X290" i="16"/>
  <c r="W190" i="16"/>
  <c r="AN289" i="16"/>
  <c r="AM189" i="16"/>
  <c r="X289" i="16"/>
  <c r="W189" i="16"/>
  <c r="AN288" i="16"/>
  <c r="AM188" i="16"/>
  <c r="X288" i="16"/>
  <c r="W188" i="16"/>
  <c r="AN287" i="16"/>
  <c r="AM187" i="16"/>
  <c r="W187" i="16"/>
  <c r="X287" i="16"/>
  <c r="AM186" i="16"/>
  <c r="AM222" i="16"/>
  <c r="AN286" i="16"/>
  <c r="W186" i="16"/>
  <c r="W222" i="16"/>
  <c r="X286" i="16"/>
  <c r="G222" i="16"/>
  <c r="H286" i="16"/>
  <c r="AM185" i="16"/>
  <c r="AN285" i="16"/>
  <c r="W185" i="16"/>
  <c r="X285" i="16"/>
  <c r="AN284" i="16"/>
  <c r="AM221" i="16"/>
  <c r="AM184" i="16"/>
  <c r="BA203" i="16"/>
  <c r="BA142" i="16"/>
  <c r="BA143" i="16"/>
  <c r="AK143" i="16"/>
  <c r="AK203" i="16"/>
  <c r="AK142" i="16"/>
  <c r="U203" i="16"/>
  <c r="U143" i="16"/>
  <c r="U142" i="16"/>
  <c r="BA141" i="16"/>
  <c r="AK141" i="16"/>
  <c r="U141" i="16"/>
  <c r="BA140" i="16"/>
  <c r="AK140" i="16"/>
  <c r="U140" i="16"/>
  <c r="AR142" i="16"/>
  <c r="AR143" i="16"/>
  <c r="AR203" i="16"/>
  <c r="AB203" i="16"/>
  <c r="AB143" i="16"/>
  <c r="AB142" i="16"/>
  <c r="L203" i="16"/>
  <c r="AR141" i="16"/>
  <c r="AB141" i="16"/>
  <c r="AR140" i="16"/>
  <c r="AB140" i="16"/>
  <c r="AD143" i="16"/>
  <c r="AD203" i="16"/>
  <c r="AD142" i="16"/>
  <c r="AT141" i="16"/>
  <c r="AG254" i="16"/>
  <c r="AC254" i="16"/>
  <c r="AI254" i="16"/>
  <c r="AM254" i="16"/>
  <c r="X254" i="16"/>
  <c r="O254" i="16"/>
  <c r="AJ254" i="16"/>
  <c r="R254" i="16"/>
  <c r="AB254" i="16"/>
  <c r="P254" i="16"/>
  <c r="AH254" i="16"/>
  <c r="V254" i="16"/>
  <c r="W254" i="16"/>
  <c r="AF254" i="16"/>
  <c r="AD254" i="16"/>
  <c r="T254" i="16"/>
  <c r="N254" i="16"/>
  <c r="AL254" i="16"/>
  <c r="AA254" i="16"/>
  <c r="Y254" i="16"/>
  <c r="U254" i="16"/>
  <c r="Z254" i="16"/>
  <c r="Q254" i="16"/>
  <c r="AE254" i="16"/>
  <c r="S254" i="16"/>
  <c r="N141" i="16"/>
  <c r="AT140" i="16"/>
  <c r="N140" i="16"/>
  <c r="AT91" i="16"/>
  <c r="AT191" i="16" s="1"/>
  <c r="N91" i="16"/>
  <c r="N191" i="16" s="1"/>
  <c r="AQ142" i="16"/>
  <c r="AQ203" i="16"/>
  <c r="AQ143" i="16"/>
  <c r="K203" i="16"/>
  <c r="AQ140" i="16"/>
  <c r="AA140" i="16"/>
  <c r="BA91" i="16"/>
  <c r="BA191" i="16" s="1"/>
  <c r="AK91" i="16"/>
  <c r="AK191" i="16" s="1"/>
  <c r="U91" i="16"/>
  <c r="U191" i="16" s="1"/>
  <c r="AX203" i="16"/>
  <c r="AX143" i="16"/>
  <c r="AX142" i="16"/>
  <c r="R142" i="16"/>
  <c r="R143" i="16"/>
  <c r="R203" i="16"/>
  <c r="AN91" i="16"/>
  <c r="AN191" i="16" s="1"/>
  <c r="X91" i="16"/>
  <c r="X191" i="16" s="1"/>
  <c r="W184" i="16"/>
  <c r="X284" i="16"/>
  <c r="W221" i="16"/>
  <c r="AM183" i="16"/>
  <c r="AN283" i="16"/>
  <c r="X283" i="16"/>
  <c r="W183" i="16"/>
  <c r="R190" i="16"/>
  <c r="S290" i="16"/>
  <c r="AI288" i="16"/>
  <c r="AH188" i="16"/>
  <c r="AX186" i="16"/>
  <c r="AX222" i="16"/>
  <c r="AY286" i="16"/>
  <c r="AW237" i="16"/>
  <c r="AX278" i="16"/>
  <c r="AW139" i="16"/>
  <c r="R278" i="16"/>
  <c r="Q139" i="16"/>
  <c r="Q237" i="16"/>
  <c r="J138" i="16"/>
  <c r="I236" i="16"/>
  <c r="I243" i="16"/>
  <c r="J277" i="16"/>
  <c r="AO48" i="16"/>
  <c r="AO179" i="16" s="1"/>
  <c r="Y48" i="16"/>
  <c r="Y179" i="16" s="1"/>
  <c r="AT189" i="16"/>
  <c r="AU289" i="16"/>
  <c r="N188" i="16"/>
  <c r="O288" i="16"/>
  <c r="AD222" i="16"/>
  <c r="AD186" i="16"/>
  <c r="AE286" i="16"/>
  <c r="O285" i="16"/>
  <c r="AT184" i="16"/>
  <c r="AU284" i="16"/>
  <c r="AT221" i="16"/>
  <c r="AE283" i="16"/>
  <c r="AW278" i="16"/>
  <c r="AV237" i="16"/>
  <c r="AV139" i="16"/>
  <c r="AF237" i="16"/>
  <c r="AF139" i="16"/>
  <c r="AG278" i="16"/>
  <c r="Q278" i="16"/>
  <c r="P237" i="16"/>
  <c r="P139" i="16"/>
  <c r="I277" i="16"/>
  <c r="H243" i="16"/>
  <c r="I138" i="16"/>
  <c r="AN48" i="16"/>
  <c r="X48" i="16"/>
  <c r="X179" i="16" s="1"/>
  <c r="Z185" i="16"/>
  <c r="AA285" i="16"/>
  <c r="AP183" i="16"/>
  <c r="AQ283" i="16"/>
  <c r="AM237" i="16"/>
  <c r="AM139" i="16"/>
  <c r="AN278" i="16"/>
  <c r="H278" i="16"/>
  <c r="V237" i="16"/>
  <c r="V139" i="16"/>
  <c r="W278" i="16"/>
  <c r="AL175" i="16"/>
  <c r="AL200" i="16"/>
  <c r="V175" i="16"/>
  <c r="V200" i="16"/>
  <c r="AL174" i="16"/>
  <c r="V35" i="16"/>
  <c r="V174" i="16"/>
  <c r="V173" i="16"/>
  <c r="AL172" i="16"/>
  <c r="V199" i="16"/>
  <c r="V172" i="16"/>
  <c r="F199" i="16"/>
  <c r="AL211" i="16"/>
  <c r="AL171" i="16"/>
  <c r="V171" i="16"/>
  <c r="V211" i="16"/>
  <c r="AM290" i="16"/>
  <c r="AL190" i="16"/>
  <c r="AS240" i="16"/>
  <c r="AS177" i="16"/>
  <c r="AS244" i="16"/>
  <c r="AS202" i="16"/>
  <c r="AS178" i="16"/>
  <c r="AC202" i="16"/>
  <c r="AC244" i="16"/>
  <c r="AC240" i="16"/>
  <c r="AC177" i="16"/>
  <c r="AC178" i="16"/>
  <c r="M240" i="16"/>
  <c r="M202" i="16"/>
  <c r="M46" i="16"/>
  <c r="M244" i="16"/>
  <c r="AW200" i="16"/>
  <c r="AW175" i="16"/>
  <c r="AG200" i="16"/>
  <c r="AG175" i="16"/>
  <c r="Q200" i="16"/>
  <c r="Q175" i="16"/>
  <c r="AW174" i="16"/>
  <c r="AG174" i="16"/>
  <c r="Q174" i="16"/>
  <c r="AW173" i="16"/>
  <c r="AG173" i="16"/>
  <c r="Q173" i="16"/>
  <c r="AW199" i="16"/>
  <c r="AW35" i="16"/>
  <c r="AW172" i="16"/>
  <c r="AG172" i="16"/>
  <c r="AG199" i="16"/>
  <c r="AG35" i="16"/>
  <c r="Q35" i="16"/>
  <c r="Q199" i="16"/>
  <c r="AW211" i="16"/>
  <c r="AW171" i="16"/>
  <c r="AG171" i="16"/>
  <c r="AG211" i="16"/>
  <c r="Q211" i="16"/>
  <c r="Q171" i="16"/>
  <c r="AM285" i="16"/>
  <c r="AV202" i="16"/>
  <c r="AV240" i="16"/>
  <c r="AV177" i="16"/>
  <c r="AV178" i="16"/>
  <c r="AV244" i="16"/>
  <c r="AF177" i="16"/>
  <c r="AF202" i="16"/>
  <c r="AF178" i="16"/>
  <c r="AF240" i="16"/>
  <c r="AF244" i="16"/>
  <c r="P240" i="16"/>
  <c r="P178" i="16"/>
  <c r="P46" i="16"/>
  <c r="P202" i="16"/>
  <c r="P177" i="16"/>
  <c r="P244" i="16"/>
  <c r="AQ202" i="16"/>
  <c r="AQ240" i="16"/>
  <c r="AQ177" i="16"/>
  <c r="AQ244" i="16"/>
  <c r="AQ178" i="16"/>
  <c r="AF35" i="16"/>
  <c r="AF199" i="16"/>
  <c r="AF172" i="16"/>
  <c r="AF211" i="16"/>
  <c r="AF171" i="16"/>
  <c r="AU170" i="16"/>
  <c r="AE170" i="16"/>
  <c r="O170" i="16"/>
  <c r="AU239" i="16"/>
  <c r="AV276" i="16"/>
  <c r="AU169" i="16"/>
  <c r="AU167" i="16"/>
  <c r="AU168" i="16"/>
  <c r="AU208" i="16"/>
  <c r="AU166" i="16"/>
  <c r="AE168" i="16"/>
  <c r="AE167" i="16"/>
  <c r="AE169" i="16"/>
  <c r="AE239" i="16"/>
  <c r="AF276" i="16"/>
  <c r="AE208" i="16"/>
  <c r="AE166" i="16"/>
  <c r="AE238" i="16"/>
  <c r="O166" i="16"/>
  <c r="O168" i="16"/>
  <c r="O238" i="16"/>
  <c r="P276" i="16"/>
  <c r="O239" i="16"/>
  <c r="O208" i="16"/>
  <c r="O169" i="16"/>
  <c r="O167" i="16"/>
  <c r="AV275" i="16"/>
  <c r="AU165" i="16"/>
  <c r="AU205" i="16"/>
  <c r="AE156" i="16"/>
  <c r="AF275" i="16"/>
  <c r="AE205" i="16"/>
  <c r="AE165" i="16"/>
  <c r="O165" i="16"/>
  <c r="P275" i="16"/>
  <c r="O205" i="16"/>
  <c r="AU164" i="16"/>
  <c r="AV274" i="16"/>
  <c r="AU163" i="16"/>
  <c r="AE164" i="16"/>
  <c r="AF274" i="16"/>
  <c r="AE163" i="16"/>
  <c r="O163" i="16"/>
  <c r="P274" i="16"/>
  <c r="O164" i="16"/>
  <c r="AU198" i="16"/>
  <c r="AU21" i="16"/>
  <c r="AU160" i="16"/>
  <c r="AV272" i="16"/>
  <c r="AU158" i="16"/>
  <c r="AU234" i="16"/>
  <c r="AU157" i="16"/>
  <c r="AU233" i="16"/>
  <c r="AU161" i="16"/>
  <c r="AU159" i="16"/>
  <c r="AE159" i="16"/>
  <c r="AE160" i="16"/>
  <c r="AE157" i="16"/>
  <c r="AE158" i="16"/>
  <c r="AE234" i="16"/>
  <c r="AE233" i="16"/>
  <c r="AE21" i="16"/>
  <c r="AE198" i="16"/>
  <c r="AF272" i="16"/>
  <c r="AE161" i="16"/>
  <c r="O156" i="16"/>
  <c r="O198" i="16"/>
  <c r="O21" i="16"/>
  <c r="O233" i="16"/>
  <c r="O162" i="16"/>
  <c r="O159" i="16"/>
  <c r="P272" i="16"/>
  <c r="O160" i="16"/>
  <c r="O161" i="16"/>
  <c r="O234" i="16"/>
  <c r="O158" i="16"/>
  <c r="O157" i="16"/>
  <c r="H271" i="16"/>
  <c r="G231" i="16"/>
  <c r="G232" i="16"/>
  <c r="AM154" i="16"/>
  <c r="AM155" i="16"/>
  <c r="AM230" i="16"/>
  <c r="AM153" i="16"/>
  <c r="AM152" i="16"/>
  <c r="AN269" i="16"/>
  <c r="W154" i="16"/>
  <c r="X269" i="16"/>
  <c r="W230" i="16"/>
  <c r="W155" i="16"/>
  <c r="W153" i="16"/>
  <c r="W152" i="16"/>
  <c r="G230" i="16"/>
  <c r="H269" i="16"/>
  <c r="AM151" i="16"/>
  <c r="W151" i="16"/>
  <c r="W148" i="16"/>
  <c r="AM227" i="16"/>
  <c r="AM149" i="16"/>
  <c r="AM219" i="16"/>
  <c r="AM223" i="16"/>
  <c r="AN267" i="16"/>
  <c r="AM148" i="16"/>
  <c r="AM246" i="16"/>
  <c r="AM10" i="16"/>
  <c r="AM220" i="16"/>
  <c r="AM224" i="16"/>
  <c r="AM228" i="16"/>
  <c r="X267" i="16"/>
  <c r="W227" i="16"/>
  <c r="W149" i="16"/>
  <c r="W10" i="16"/>
  <c r="W228" i="16"/>
  <c r="L266" i="16"/>
  <c r="K242" i="16"/>
  <c r="K229" i="16"/>
  <c r="K226" i="16"/>
  <c r="K197" i="16"/>
  <c r="AM283" i="16"/>
  <c r="W48" i="16"/>
  <c r="W179" i="16" s="1"/>
  <c r="G240" i="16"/>
  <c r="G244" i="16"/>
  <c r="G202" i="16"/>
  <c r="AU175" i="16"/>
  <c r="AU200" i="16"/>
  <c r="AU199" i="16"/>
  <c r="AU35" i="16"/>
  <c r="O199" i="16"/>
  <c r="O172" i="16"/>
  <c r="O35" i="16"/>
  <c r="AU211" i="16"/>
  <c r="AU171" i="16"/>
  <c r="O171" i="16"/>
  <c r="O211" i="16"/>
  <c r="AL205" i="16"/>
  <c r="AM275" i="16"/>
  <c r="W275" i="16"/>
  <c r="V205" i="16"/>
  <c r="G275" i="16"/>
  <c r="F205" i="16"/>
  <c r="AL163" i="16"/>
  <c r="AM274" i="16"/>
  <c r="AL164" i="16"/>
  <c r="V163" i="16"/>
  <c r="W274" i="16"/>
  <c r="V164" i="16"/>
  <c r="AL198" i="16"/>
  <c r="AL161" i="16"/>
  <c r="AL160" i="16"/>
  <c r="AL158" i="16"/>
  <c r="AM272" i="16"/>
  <c r="AL233" i="16"/>
  <c r="AL156" i="16"/>
  <c r="AL234" i="16"/>
  <c r="AL159" i="16"/>
  <c r="AL157" i="16"/>
  <c r="W272" i="16"/>
  <c r="V198" i="16"/>
  <c r="V158" i="16"/>
  <c r="V159" i="16"/>
  <c r="V234" i="16"/>
  <c r="V156" i="16"/>
  <c r="V161" i="16"/>
  <c r="V233" i="16"/>
  <c r="V160" i="16"/>
  <c r="V157" i="16"/>
  <c r="F233" i="16"/>
  <c r="F234" i="16"/>
  <c r="F198" i="16"/>
  <c r="G272" i="16"/>
  <c r="O257" i="16"/>
  <c r="V257" i="16"/>
  <c r="Y257" i="16"/>
  <c r="T257" i="16"/>
  <c r="U257" i="16"/>
  <c r="W257" i="16"/>
  <c r="Q257" i="16"/>
  <c r="S257" i="16"/>
  <c r="X257" i="16"/>
  <c r="P257" i="16"/>
  <c r="N257" i="16"/>
  <c r="N207" i="16"/>
  <c r="R257" i="16"/>
  <c r="N256" i="16"/>
  <c r="O256" i="16"/>
  <c r="P256" i="16"/>
  <c r="O270" i="16"/>
  <c r="Q256" i="16"/>
  <c r="Q259" i="16" s="1"/>
  <c r="AT155" i="16"/>
  <c r="AU269" i="16"/>
  <c r="AT230" i="16"/>
  <c r="AD152" i="16"/>
  <c r="AD230" i="16"/>
  <c r="AD154" i="16"/>
  <c r="AE269" i="16"/>
  <c r="AD155" i="16"/>
  <c r="AD153" i="16"/>
  <c r="N155" i="16"/>
  <c r="N152" i="16"/>
  <c r="O269" i="16"/>
  <c r="N230" i="16"/>
  <c r="N154" i="16"/>
  <c r="N153" i="16"/>
  <c r="AT151" i="16"/>
  <c r="AD151" i="16"/>
  <c r="N151" i="16"/>
  <c r="AT224" i="16"/>
  <c r="AT227" i="16"/>
  <c r="AU267" i="16"/>
  <c r="AT10" i="16"/>
  <c r="AT219" i="16"/>
  <c r="AT228" i="16"/>
  <c r="AT246" i="16"/>
  <c r="AT223" i="16"/>
  <c r="AT148" i="16"/>
  <c r="AT149" i="16"/>
  <c r="AD219" i="16"/>
  <c r="AE267" i="16"/>
  <c r="AD246" i="16"/>
  <c r="AD227" i="16"/>
  <c r="AD148" i="16"/>
  <c r="AD149" i="16"/>
  <c r="AD228" i="16"/>
  <c r="AD224" i="16"/>
  <c r="AD223" i="16"/>
  <c r="AD10" i="16"/>
  <c r="K267" i="16"/>
  <c r="J228" i="16"/>
  <c r="S178" i="16"/>
  <c r="S177" i="16"/>
  <c r="S240" i="16"/>
  <c r="S202" i="16"/>
  <c r="S244" i="16"/>
  <c r="AZ175" i="16"/>
  <c r="AZ200" i="16"/>
  <c r="AZ172" i="16"/>
  <c r="AZ35" i="16"/>
  <c r="AZ199" i="16"/>
  <c r="T35" i="16"/>
  <c r="T199" i="16"/>
  <c r="AZ211" i="16"/>
  <c r="AZ171" i="16"/>
  <c r="T211" i="16"/>
  <c r="T171" i="16"/>
  <c r="AO170" i="16"/>
  <c r="Y170" i="16"/>
  <c r="AO169" i="16"/>
  <c r="AO208" i="16"/>
  <c r="AO166" i="16"/>
  <c r="AO238" i="16"/>
  <c r="AO167" i="16"/>
  <c r="AO168" i="16"/>
  <c r="AO239" i="16"/>
  <c r="AP276" i="16"/>
  <c r="Y168" i="16"/>
  <c r="Y169" i="16"/>
  <c r="Y208" i="16"/>
  <c r="Y167" i="16"/>
  <c r="Z276" i="16"/>
  <c r="Y238" i="16"/>
  <c r="Y239" i="16"/>
  <c r="Y166" i="16"/>
  <c r="I208" i="16"/>
  <c r="I239" i="16"/>
  <c r="J276" i="16"/>
  <c r="I238" i="16"/>
  <c r="AO205" i="16"/>
  <c r="AP275" i="16"/>
  <c r="AO165" i="16"/>
  <c r="Y205" i="16"/>
  <c r="Z275" i="16"/>
  <c r="Y165" i="16"/>
  <c r="I205" i="16"/>
  <c r="J275" i="16"/>
  <c r="AO163" i="16"/>
  <c r="AP274" i="16"/>
  <c r="AO164" i="16"/>
  <c r="AO21" i="16"/>
  <c r="AO157" i="16"/>
  <c r="AO159" i="16"/>
  <c r="AO198" i="16"/>
  <c r="AO161" i="16"/>
  <c r="AO233" i="16"/>
  <c r="AO160" i="16"/>
  <c r="AP272" i="16"/>
  <c r="AO158" i="16"/>
  <c r="AO234" i="16"/>
  <c r="AO156" i="16"/>
  <c r="Y160" i="16"/>
  <c r="Y21" i="16"/>
  <c r="Y159" i="16"/>
  <c r="Y234" i="16"/>
  <c r="Y158" i="16"/>
  <c r="Y157" i="16"/>
  <c r="Y198" i="16"/>
  <c r="Y233" i="16"/>
  <c r="Y161" i="16"/>
  <c r="I234" i="16"/>
  <c r="I233" i="16"/>
  <c r="J272" i="16"/>
  <c r="I198" i="16"/>
  <c r="AS230" i="16"/>
  <c r="AS153" i="16"/>
  <c r="AT269" i="16"/>
  <c r="AS155" i="16"/>
  <c r="AC154" i="16"/>
  <c r="AD269" i="16"/>
  <c r="AC155" i="16"/>
  <c r="AC230" i="16"/>
  <c r="AC153" i="16"/>
  <c r="AC152" i="16"/>
  <c r="M230" i="16"/>
  <c r="N269" i="16"/>
  <c r="AS151" i="16"/>
  <c r="AC151" i="16"/>
  <c r="M147" i="16"/>
  <c r="AC228" i="16"/>
  <c r="AC219" i="16"/>
  <c r="AC246" i="16"/>
  <c r="AC224" i="16"/>
  <c r="AC148" i="16"/>
  <c r="AD267" i="16"/>
  <c r="AC220" i="16"/>
  <c r="AC223" i="16"/>
  <c r="AC10" i="16"/>
  <c r="AC149" i="16"/>
  <c r="AC227" i="16"/>
  <c r="I68" i="16"/>
  <c r="I52" i="17" s="1"/>
  <c r="I60" i="16"/>
  <c r="I245" i="16" s="1"/>
  <c r="I228" i="16"/>
  <c r="I219" i="16"/>
  <c r="I246" i="16"/>
  <c r="I227" i="16"/>
  <c r="J267" i="16"/>
  <c r="I67" i="16"/>
  <c r="I51" i="17" s="1"/>
  <c r="I220" i="16"/>
  <c r="AM48" i="16"/>
  <c r="AM179" i="16" s="1"/>
  <c r="O46" i="16"/>
  <c r="O217" i="16" s="1"/>
  <c r="O240" i="16"/>
  <c r="O177" i="16"/>
  <c r="O244" i="16"/>
  <c r="O202" i="16"/>
  <c r="O178" i="16"/>
  <c r="AY200" i="16"/>
  <c r="AY175" i="16"/>
  <c r="S175" i="16"/>
  <c r="S200" i="16"/>
  <c r="AY199" i="16"/>
  <c r="AY172" i="16"/>
  <c r="AY35" i="16"/>
  <c r="S172" i="16"/>
  <c r="S199" i="16"/>
  <c r="S35" i="16"/>
  <c r="AY171" i="16"/>
  <c r="AY211" i="16"/>
  <c r="S211" i="16"/>
  <c r="S171" i="16"/>
  <c r="AN170" i="16"/>
  <c r="X163" i="16"/>
  <c r="X164" i="16"/>
  <c r="Y274" i="16"/>
  <c r="Y269" i="16"/>
  <c r="X230" i="16"/>
  <c r="X154" i="16"/>
  <c r="X155" i="16"/>
  <c r="X153" i="16"/>
  <c r="X152" i="16"/>
  <c r="AN149" i="16"/>
  <c r="AN219" i="16"/>
  <c r="AN223" i="16"/>
  <c r="AN220" i="16"/>
  <c r="AN148" i="16"/>
  <c r="AN224" i="16"/>
  <c r="AN228" i="16"/>
  <c r="AN227" i="16"/>
  <c r="AO267" i="16"/>
  <c r="AN246" i="16"/>
  <c r="AJ163" i="16"/>
  <c r="AJ164" i="16"/>
  <c r="AK274" i="16"/>
  <c r="AJ219" i="16"/>
  <c r="AJ10" i="16"/>
  <c r="AJ226" i="16" s="1"/>
  <c r="AJ246" i="16"/>
  <c r="AJ223" i="16"/>
  <c r="AJ227" i="16"/>
  <c r="AK267" i="16"/>
  <c r="AJ224" i="16"/>
  <c r="AJ228" i="16"/>
  <c r="AJ149" i="16"/>
  <c r="AJ220" i="16"/>
  <c r="AF169" i="16"/>
  <c r="AF168" i="16"/>
  <c r="AF208" i="16"/>
  <c r="AF167" i="16"/>
  <c r="AF239" i="16"/>
  <c r="AG276" i="16"/>
  <c r="AF238" i="16"/>
  <c r="AF166" i="16"/>
  <c r="AG275" i="16"/>
  <c r="AF165" i="16"/>
  <c r="AF205" i="16"/>
  <c r="AF157" i="16"/>
  <c r="AF198" i="16"/>
  <c r="AF161" i="16"/>
  <c r="AF156" i="16"/>
  <c r="AF233" i="16"/>
  <c r="AF158" i="16"/>
  <c r="AF159" i="16"/>
  <c r="AF234" i="16"/>
  <c r="AG272" i="16"/>
  <c r="AF21" i="16"/>
  <c r="AF160" i="16"/>
  <c r="AV155" i="16"/>
  <c r="AV230" i="16"/>
  <c r="AW269" i="16"/>
  <c r="AV153" i="16"/>
  <c r="P11" i="16"/>
  <c r="P147" i="16" s="1"/>
  <c r="AB163" i="16"/>
  <c r="AB164" i="16"/>
  <c r="AC274" i="16"/>
  <c r="AR161" i="16"/>
  <c r="AR160" i="16"/>
  <c r="AR159" i="16"/>
  <c r="AR198" i="16"/>
  <c r="AR158" i="16"/>
  <c r="AR157" i="16"/>
  <c r="AR21" i="16"/>
  <c r="AR156" i="16"/>
  <c r="AS272" i="16"/>
  <c r="AR234" i="16"/>
  <c r="AR233" i="16"/>
  <c r="AB166" i="16"/>
  <c r="AB168" i="16"/>
  <c r="AB208" i="16"/>
  <c r="AB239" i="16"/>
  <c r="AB238" i="16"/>
  <c r="AB169" i="16"/>
  <c r="AC276" i="16"/>
  <c r="AB167" i="16"/>
  <c r="L239" i="16"/>
  <c r="L238" i="16"/>
  <c r="L208" i="16"/>
  <c r="AR164" i="16"/>
  <c r="AS274" i="16"/>
  <c r="AR163" i="16"/>
  <c r="BA190" i="16"/>
  <c r="V290" i="16"/>
  <c r="U190" i="16"/>
  <c r="BA189" i="16"/>
  <c r="AL289" i="16"/>
  <c r="U189" i="16"/>
  <c r="V289" i="16"/>
  <c r="BA188" i="16"/>
  <c r="V288" i="16"/>
  <c r="U188" i="16"/>
  <c r="BA187" i="16"/>
  <c r="BA186" i="16"/>
  <c r="BA222" i="16"/>
  <c r="AK186" i="16"/>
  <c r="AL286" i="16"/>
  <c r="U222" i="16"/>
  <c r="U186" i="16"/>
  <c r="V286" i="16"/>
  <c r="BA185" i="16"/>
  <c r="AK185" i="16"/>
  <c r="AL285" i="16"/>
  <c r="U185" i="16"/>
  <c r="V285" i="16"/>
  <c r="BA221" i="16"/>
  <c r="AL284" i="16"/>
  <c r="AK184" i="16"/>
  <c r="V284" i="16"/>
  <c r="U221" i="16"/>
  <c r="U184" i="16"/>
  <c r="BA183" i="16"/>
  <c r="AL283" i="16"/>
  <c r="AK183" i="16"/>
  <c r="U183" i="16"/>
  <c r="V283" i="16"/>
  <c r="AV190" i="16"/>
  <c r="AW290" i="16"/>
  <c r="AG290" i="16"/>
  <c r="AF190" i="16"/>
  <c r="Q290" i="16"/>
  <c r="AV189" i="16"/>
  <c r="AW289" i="16"/>
  <c r="AG289" i="16"/>
  <c r="AF189" i="16"/>
  <c r="P189" i="16"/>
  <c r="Q289" i="16"/>
  <c r="AW288" i="16"/>
  <c r="AV188" i="16"/>
  <c r="AG288" i="16"/>
  <c r="AF188" i="16"/>
  <c r="P188" i="16"/>
  <c r="Q288" i="16"/>
  <c r="AV187" i="16"/>
  <c r="AW287" i="16"/>
  <c r="AG287" i="16"/>
  <c r="AF187" i="16"/>
  <c r="P187" i="16"/>
  <c r="Q287" i="16"/>
  <c r="AV222" i="16"/>
  <c r="AW286" i="16"/>
  <c r="AV186" i="16"/>
  <c r="AF222" i="16"/>
  <c r="AF186" i="16"/>
  <c r="AG286" i="16"/>
  <c r="P186" i="16"/>
  <c r="Q286" i="16"/>
  <c r="P222" i="16"/>
  <c r="AV185" i="16"/>
  <c r="AW285" i="16"/>
  <c r="AG285" i="16"/>
  <c r="AF185" i="16"/>
  <c r="Q285" i="16"/>
  <c r="P185" i="16"/>
  <c r="AW284" i="16"/>
  <c r="AV221" i="16"/>
  <c r="AF184" i="16"/>
  <c r="AF221" i="16"/>
  <c r="AG284" i="16"/>
  <c r="P184" i="16"/>
  <c r="P221" i="16"/>
  <c r="Q284" i="16"/>
  <c r="AW283" i="16"/>
  <c r="AV183" i="16"/>
  <c r="AG283" i="16"/>
  <c r="AF183" i="16"/>
  <c r="P183" i="16"/>
  <c r="Q283" i="16"/>
  <c r="S91" i="16"/>
  <c r="S191" i="16" s="1"/>
  <c r="AY190" i="16"/>
  <c r="AZ290" i="16"/>
  <c r="AJ290" i="16"/>
  <c r="AI190" i="16"/>
  <c r="T290" i="16"/>
  <c r="S190" i="16"/>
  <c r="AZ289" i="16"/>
  <c r="AY189" i="16"/>
  <c r="AI189" i="16"/>
  <c r="AJ289" i="16"/>
  <c r="T289" i="16"/>
  <c r="S189" i="16"/>
  <c r="AZ288" i="16"/>
  <c r="AY188" i="16"/>
  <c r="AJ288" i="16"/>
  <c r="AI188" i="16"/>
  <c r="AY187" i="16"/>
  <c r="AZ287" i="16"/>
  <c r="AJ287" i="16"/>
  <c r="AI187" i="16"/>
  <c r="AY222" i="16"/>
  <c r="AZ286" i="16"/>
  <c r="AY186" i="16"/>
  <c r="AJ286" i="16"/>
  <c r="AI222" i="16"/>
  <c r="AI186" i="16"/>
  <c r="S222" i="16"/>
  <c r="T286" i="16"/>
  <c r="S186" i="16"/>
  <c r="AZ285" i="16"/>
  <c r="AY185" i="16"/>
  <c r="AI185" i="16"/>
  <c r="AJ285" i="16"/>
  <c r="S185" i="16"/>
  <c r="T285" i="16"/>
  <c r="AY184" i="16"/>
  <c r="AZ284" i="16"/>
  <c r="AY221" i="16"/>
  <c r="AJ284" i="16"/>
  <c r="AI184" i="16"/>
  <c r="AI221" i="16"/>
  <c r="S183" i="16"/>
  <c r="T284" i="16"/>
  <c r="S184" i="16"/>
  <c r="AZ283" i="16"/>
  <c r="AY183" i="16"/>
  <c r="AI183" i="16"/>
  <c r="AJ283" i="16"/>
  <c r="AY289" i="16"/>
  <c r="AX189" i="16"/>
  <c r="S288" i="16"/>
  <c r="R188" i="16"/>
  <c r="AH186" i="16"/>
  <c r="AI286" i="16"/>
  <c r="AH222" i="16"/>
  <c r="R185" i="16"/>
  <c r="S285" i="16"/>
  <c r="AX184" i="16"/>
  <c r="AX221" i="16"/>
  <c r="AY284" i="16"/>
  <c r="AH183" i="16"/>
  <c r="AI283" i="16"/>
  <c r="AS237" i="16"/>
  <c r="AS139" i="16"/>
  <c r="AT278" i="16"/>
  <c r="AC139" i="16"/>
  <c r="AC237" i="16"/>
  <c r="AD278" i="16"/>
  <c r="N278" i="16"/>
  <c r="M237" i="16"/>
  <c r="U48" i="16"/>
  <c r="BA48" i="16"/>
  <c r="BA179" i="16" s="1"/>
  <c r="AK48" i="16"/>
  <c r="AK179" i="16" s="1"/>
  <c r="AE143" i="16"/>
  <c r="AE203" i="16"/>
  <c r="AE142" i="16"/>
  <c r="AT190" i="16"/>
  <c r="AU290" i="16"/>
  <c r="AD189" i="16"/>
  <c r="AE289" i="16"/>
  <c r="AT187" i="16"/>
  <c r="AE284" i="16"/>
  <c r="N183" i="16"/>
  <c r="O283" i="16"/>
  <c r="AR237" i="16"/>
  <c r="AR139" i="16"/>
  <c r="AS278" i="16"/>
  <c r="AC278" i="16"/>
  <c r="AB237" i="16"/>
  <c r="AB139" i="16"/>
  <c r="AJ48" i="16"/>
  <c r="AJ179" i="16" s="1"/>
  <c r="T48" i="16"/>
  <c r="T179" i="16" s="1"/>
  <c r="AU141" i="16"/>
  <c r="AQ289" i="16"/>
  <c r="AP189" i="16"/>
  <c r="AA286" i="16"/>
  <c r="Z186" i="16"/>
  <c r="Z222" i="16"/>
  <c r="AP221" i="16"/>
  <c r="AP184" i="16"/>
  <c r="AQ284" i="16"/>
  <c r="AA283" i="16"/>
  <c r="Z183" i="16"/>
  <c r="AZ278" i="16"/>
  <c r="AI237" i="16"/>
  <c r="AJ278" i="16"/>
  <c r="AI139" i="16"/>
  <c r="S237" i="16"/>
  <c r="T278" i="16"/>
  <c r="S139" i="16"/>
  <c r="K243" i="16"/>
  <c r="M138" i="16"/>
  <c r="L277" i="16"/>
  <c r="K236" i="16"/>
  <c r="M277" i="16"/>
  <c r="L138" i="16"/>
  <c r="AP240" i="16"/>
  <c r="AP178" i="16"/>
  <c r="AP244" i="16"/>
  <c r="AP177" i="16"/>
  <c r="AP202" i="16"/>
  <c r="Z202" i="16"/>
  <c r="Z240" i="16"/>
  <c r="Z177" i="16"/>
  <c r="Z178" i="16"/>
  <c r="Z244" i="16"/>
  <c r="J202" i="16"/>
  <c r="J244" i="16"/>
  <c r="AX200" i="16"/>
  <c r="R200" i="16"/>
  <c r="AX173" i="16"/>
  <c r="AX35" i="16"/>
  <c r="AH35" i="16"/>
  <c r="AX171" i="16"/>
  <c r="AH211" i="16"/>
  <c r="R211" i="16"/>
  <c r="J217" i="16"/>
  <c r="W289" i="16"/>
  <c r="V189" i="16"/>
  <c r="G286" i="16"/>
  <c r="F222" i="16"/>
  <c r="R237" i="16"/>
  <c r="S278" i="16"/>
  <c r="R139" i="16"/>
  <c r="AA48" i="16"/>
  <c r="AA179" i="16" s="1"/>
  <c r="AO240" i="16"/>
  <c r="AO202" i="16"/>
  <c r="AO177" i="16"/>
  <c r="AO244" i="16"/>
  <c r="AO178" i="16"/>
  <c r="AO176" i="16"/>
  <c r="Y244" i="16"/>
  <c r="Y178" i="16"/>
  <c r="Y240" i="16"/>
  <c r="Y202" i="16"/>
  <c r="Y177" i="16"/>
  <c r="I244" i="16"/>
  <c r="I240" i="16"/>
  <c r="I202" i="16"/>
  <c r="AS175" i="16"/>
  <c r="AS200" i="16"/>
  <c r="AC175" i="16"/>
  <c r="AS174" i="16"/>
  <c r="AC173" i="16"/>
  <c r="AS35" i="16"/>
  <c r="AS172" i="16"/>
  <c r="AS199" i="16"/>
  <c r="AC199" i="16"/>
  <c r="AC172" i="16"/>
  <c r="M35" i="16"/>
  <c r="M199" i="16"/>
  <c r="AS211" i="16"/>
  <c r="AS171" i="16"/>
  <c r="AC211" i="16"/>
  <c r="AC171" i="16"/>
  <c r="AL188" i="16"/>
  <c r="AM288" i="16"/>
  <c r="AT139" i="16"/>
  <c r="AH48" i="16"/>
  <c r="AH179" i="16" s="1"/>
  <c r="AR178" i="16"/>
  <c r="AR244" i="16"/>
  <c r="AR240" i="16"/>
  <c r="AR177" i="16"/>
  <c r="AR202" i="16"/>
  <c r="AB177" i="16"/>
  <c r="AB178" i="16"/>
  <c r="AB244" i="16"/>
  <c r="AB202" i="16"/>
  <c r="AB240" i="16"/>
  <c r="L202" i="16"/>
  <c r="L244" i="16"/>
  <c r="L240" i="16"/>
  <c r="AA278" i="16"/>
  <c r="Z237" i="16"/>
  <c r="AA240" i="16"/>
  <c r="AA177" i="16"/>
  <c r="AA202" i="16"/>
  <c r="AA178" i="16"/>
  <c r="AA244" i="16"/>
  <c r="X175" i="16"/>
  <c r="X200" i="16"/>
  <c r="X174" i="16"/>
  <c r="X173" i="16"/>
  <c r="X172" i="16"/>
  <c r="X35" i="16"/>
  <c r="X199" i="16"/>
  <c r="X211" i="16"/>
  <c r="X171" i="16"/>
  <c r="AA170" i="16"/>
  <c r="AQ239" i="16"/>
  <c r="AQ167" i="16"/>
  <c r="AQ238" i="16"/>
  <c r="AQ166" i="16"/>
  <c r="AQ169" i="16"/>
  <c r="AQ208" i="16"/>
  <c r="AQ168" i="16"/>
  <c r="AR276" i="16"/>
  <c r="AA168" i="16"/>
  <c r="AA208" i="16"/>
  <c r="AA238" i="16"/>
  <c r="AB276" i="16"/>
  <c r="AA166" i="16"/>
  <c r="L276" i="16"/>
  <c r="K238" i="16"/>
  <c r="K208" i="16"/>
  <c r="K239" i="16"/>
  <c r="M276" i="16"/>
  <c r="AB275" i="16"/>
  <c r="AA205" i="16"/>
  <c r="AA165" i="16"/>
  <c r="M275" i="16"/>
  <c r="K205" i="16"/>
  <c r="L275" i="16"/>
  <c r="AR274" i="16"/>
  <c r="AQ164" i="16"/>
  <c r="AQ163" i="16"/>
  <c r="AB274" i="16"/>
  <c r="AA164" i="16"/>
  <c r="AA163" i="16"/>
  <c r="M273" i="16"/>
  <c r="L273" i="16"/>
  <c r="AQ158" i="16"/>
  <c r="AQ21" i="16"/>
  <c r="AQ161" i="16"/>
  <c r="AR272" i="16"/>
  <c r="AQ160" i="16"/>
  <c r="AQ157" i="16"/>
  <c r="AQ233" i="16"/>
  <c r="AQ234" i="16"/>
  <c r="AQ159" i="16"/>
  <c r="AA233" i="16"/>
  <c r="AA234" i="16"/>
  <c r="AA158" i="16"/>
  <c r="AA157" i="16"/>
  <c r="AA21" i="16"/>
  <c r="AB272" i="16"/>
  <c r="AA156" i="16"/>
  <c r="AA160" i="16"/>
  <c r="AA198" i="16"/>
  <c r="AA161" i="16"/>
  <c r="AA159" i="16"/>
  <c r="K198" i="16"/>
  <c r="K233" i="16"/>
  <c r="M272" i="16"/>
  <c r="K234" i="16"/>
  <c r="L272" i="16"/>
  <c r="AZ269" i="16"/>
  <c r="AY153" i="16"/>
  <c r="AY155" i="16"/>
  <c r="AY154" i="16"/>
  <c r="AY152" i="16"/>
  <c r="AY230" i="16"/>
  <c r="S154" i="16"/>
  <c r="S155" i="16"/>
  <c r="T269" i="16"/>
  <c r="S153" i="16"/>
  <c r="S230" i="16"/>
  <c r="S152" i="16"/>
  <c r="AY151" i="16"/>
  <c r="AI151" i="16"/>
  <c r="S151" i="16"/>
  <c r="S148" i="16"/>
  <c r="AY148" i="16"/>
  <c r="AY246" i="16"/>
  <c r="AY149" i="16"/>
  <c r="AY224" i="16"/>
  <c r="AY219" i="16"/>
  <c r="AZ267" i="16"/>
  <c r="AY227" i="16"/>
  <c r="AY228" i="16"/>
  <c r="AY220" i="16"/>
  <c r="AY10" i="16"/>
  <c r="AY223" i="16"/>
  <c r="AI228" i="16"/>
  <c r="AI224" i="16"/>
  <c r="AJ267" i="16"/>
  <c r="AI148" i="16"/>
  <c r="AI220" i="16"/>
  <c r="AI219" i="16"/>
  <c r="AI223" i="16"/>
  <c r="AI246" i="16"/>
  <c r="AI149" i="16"/>
  <c r="AI227" i="16"/>
  <c r="T267" i="16"/>
  <c r="S220" i="16"/>
  <c r="S149" i="16"/>
  <c r="S219" i="16"/>
  <c r="S227" i="16"/>
  <c r="S228" i="16"/>
  <c r="S10" i="16"/>
  <c r="W175" i="16"/>
  <c r="AM200" i="16"/>
  <c r="AM175" i="16"/>
  <c r="AM174" i="16"/>
  <c r="AM173" i="16"/>
  <c r="AM172" i="16"/>
  <c r="AM199" i="16"/>
  <c r="AM35" i="16"/>
  <c r="G199" i="16"/>
  <c r="AM171" i="16"/>
  <c r="AM211" i="16"/>
  <c r="AH170" i="16"/>
  <c r="R170" i="16"/>
  <c r="AX167" i="16"/>
  <c r="AX166" i="16"/>
  <c r="AX168" i="16"/>
  <c r="AY276" i="16"/>
  <c r="AX208" i="16"/>
  <c r="AX239" i="16"/>
  <c r="AX238" i="16"/>
  <c r="AX169" i="16"/>
  <c r="AI276" i="16"/>
  <c r="AH208" i="16"/>
  <c r="AH238" i="16"/>
  <c r="AH169" i="16"/>
  <c r="AH239" i="16"/>
  <c r="AH166" i="16"/>
  <c r="AH168" i="16"/>
  <c r="AH167" i="16"/>
  <c r="S276" i="16"/>
  <c r="R208" i="16"/>
  <c r="R169" i="16"/>
  <c r="R168" i="16"/>
  <c r="R238" i="16"/>
  <c r="R239" i="16"/>
  <c r="R167" i="16"/>
  <c r="R166" i="16"/>
  <c r="AY275" i="16"/>
  <c r="AX165" i="16"/>
  <c r="AX205" i="16"/>
  <c r="AH165" i="16"/>
  <c r="AX163" i="16"/>
  <c r="AH164" i="16"/>
  <c r="R164" i="16"/>
  <c r="S274" i="16"/>
  <c r="AX158" i="16"/>
  <c r="AX234" i="16"/>
  <c r="AX233" i="16"/>
  <c r="AY272" i="16"/>
  <c r="AX160" i="16"/>
  <c r="AX161" i="16"/>
  <c r="AX157" i="16"/>
  <c r="AX21" i="16"/>
  <c r="AX198" i="16"/>
  <c r="AX159" i="16"/>
  <c r="AH156" i="16"/>
  <c r="AH161" i="16"/>
  <c r="AH160" i="16"/>
  <c r="AH234" i="16"/>
  <c r="AH159" i="16"/>
  <c r="AH158" i="16"/>
  <c r="AI272" i="16"/>
  <c r="AH21" i="16"/>
  <c r="AH233" i="16"/>
  <c r="AH157" i="16"/>
  <c r="R21" i="16"/>
  <c r="R158" i="16"/>
  <c r="R159" i="16"/>
  <c r="R234" i="16"/>
  <c r="S272" i="16"/>
  <c r="R233" i="16"/>
  <c r="R161" i="16"/>
  <c r="R160" i="16"/>
  <c r="J232" i="16"/>
  <c r="AP230" i="16"/>
  <c r="AQ269" i="16"/>
  <c r="AP155" i="16"/>
  <c r="AP153" i="16"/>
  <c r="AA269" i="16"/>
  <c r="Z153" i="16"/>
  <c r="Z155" i="16"/>
  <c r="Z230" i="16"/>
  <c r="AP151" i="16"/>
  <c r="AP220" i="16"/>
  <c r="AP246" i="16"/>
  <c r="AP223" i="16"/>
  <c r="Z246" i="16"/>
  <c r="Z10" i="16"/>
  <c r="Z128" i="16" s="1"/>
  <c r="Z227" i="16"/>
  <c r="Z223" i="16"/>
  <c r="AA267" i="16"/>
  <c r="Z149" i="16"/>
  <c r="Z219" i="16"/>
  <c r="Z228" i="16"/>
  <c r="Z224" i="16"/>
  <c r="F219" i="16"/>
  <c r="F227" i="16"/>
  <c r="AM286" i="16"/>
  <c r="O48" i="16"/>
  <c r="O179" i="16" s="1"/>
  <c r="AR200" i="16"/>
  <c r="AR174" i="16"/>
  <c r="AR173" i="16"/>
  <c r="L199" i="16"/>
  <c r="AR171" i="16"/>
  <c r="AR211" i="16"/>
  <c r="BA170" i="16"/>
  <c r="BA169" i="16"/>
  <c r="BA239" i="16"/>
  <c r="BA238" i="16"/>
  <c r="BA168" i="16"/>
  <c r="BA208" i="16"/>
  <c r="BA166" i="16"/>
  <c r="BA167" i="16"/>
  <c r="AK168" i="16"/>
  <c r="AK167" i="16"/>
  <c r="AL276" i="16"/>
  <c r="AK238" i="16"/>
  <c r="AK239" i="16"/>
  <c r="AK208" i="16"/>
  <c r="AK169" i="16"/>
  <c r="AK166" i="16"/>
  <c r="U166" i="16"/>
  <c r="U208" i="16"/>
  <c r="U239" i="16"/>
  <c r="U238" i="16"/>
  <c r="U169" i="16"/>
  <c r="U167" i="16"/>
  <c r="U168" i="16"/>
  <c r="AK165" i="16"/>
  <c r="BA165" i="16"/>
  <c r="BA205" i="16"/>
  <c r="AL275" i="16"/>
  <c r="AK205" i="16"/>
  <c r="U165" i="16"/>
  <c r="V275" i="16"/>
  <c r="U205" i="16"/>
  <c r="BA163" i="16"/>
  <c r="BA164" i="16"/>
  <c r="AK163" i="16"/>
  <c r="AK164" i="16"/>
  <c r="AL274" i="16"/>
  <c r="BA161" i="16"/>
  <c r="BA233" i="16"/>
  <c r="BA21" i="16"/>
  <c r="BA158" i="16"/>
  <c r="BA156" i="16"/>
  <c r="BA198" i="16"/>
  <c r="BA234" i="16"/>
  <c r="BA160" i="16"/>
  <c r="BA157" i="16"/>
  <c r="BA159" i="16"/>
  <c r="AK161" i="16"/>
  <c r="AK158" i="16"/>
  <c r="AK159" i="16"/>
  <c r="AK21" i="16"/>
  <c r="AK232" i="16" s="1"/>
  <c r="AK198" i="16"/>
  <c r="AK157" i="16"/>
  <c r="AL272" i="16"/>
  <c r="AK160" i="16"/>
  <c r="AK156" i="16"/>
  <c r="AK234" i="16"/>
  <c r="AK233" i="16"/>
  <c r="U157" i="16"/>
  <c r="U161" i="16"/>
  <c r="U234" i="16"/>
  <c r="U198" i="16"/>
  <c r="U21" i="16"/>
  <c r="V272" i="16"/>
  <c r="U233" i="16"/>
  <c r="U159" i="16"/>
  <c r="U158" i="16"/>
  <c r="I231" i="16"/>
  <c r="I232" i="16"/>
  <c r="J271" i="16"/>
  <c r="AO153" i="16"/>
  <c r="AP269" i="16"/>
  <c r="AO155" i="16"/>
  <c r="AO230" i="16"/>
  <c r="Y152" i="16"/>
  <c r="Z269" i="16"/>
  <c r="Y230" i="16"/>
  <c r="Y155" i="16"/>
  <c r="Y153" i="16"/>
  <c r="Y154" i="16"/>
  <c r="J269" i="16"/>
  <c r="I230" i="16"/>
  <c r="AO151" i="16"/>
  <c r="Y151" i="16"/>
  <c r="AO220" i="16"/>
  <c r="AO227" i="16"/>
  <c r="AO219" i="16"/>
  <c r="AO10" i="16"/>
  <c r="AO149" i="16"/>
  <c r="AP267" i="16"/>
  <c r="AO223" i="16"/>
  <c r="AO246" i="16"/>
  <c r="AO228" i="16"/>
  <c r="AO224" i="16"/>
  <c r="AO148" i="16"/>
  <c r="Y220" i="16"/>
  <c r="Y227" i="16"/>
  <c r="Y219" i="16"/>
  <c r="Y10" i="16"/>
  <c r="Z267" i="16"/>
  <c r="Y228" i="16"/>
  <c r="Y149" i="16"/>
  <c r="I33" i="16"/>
  <c r="I226" i="16"/>
  <c r="I197" i="16"/>
  <c r="I218" i="16"/>
  <c r="I229" i="16"/>
  <c r="J266" i="16"/>
  <c r="I216" i="16"/>
  <c r="I242" i="16"/>
  <c r="AP237" i="16"/>
  <c r="AQ278" i="16"/>
  <c r="AP139" i="16"/>
  <c r="AQ200" i="16"/>
  <c r="AQ175" i="16"/>
  <c r="AQ174" i="16"/>
  <c r="AQ173" i="16"/>
  <c r="AQ35" i="16"/>
  <c r="AQ199" i="16"/>
  <c r="AQ172" i="16"/>
  <c r="AQ171" i="16"/>
  <c r="AQ211" i="16"/>
  <c r="AZ170" i="16"/>
  <c r="AJ170" i="16"/>
  <c r="AN239" i="16"/>
  <c r="AN169" i="16"/>
  <c r="AO276" i="16"/>
  <c r="AN238" i="16"/>
  <c r="AN167" i="16"/>
  <c r="AN168" i="16"/>
  <c r="AN208" i="16"/>
  <c r="AN166" i="16"/>
  <c r="AN205" i="16"/>
  <c r="AO275" i="16"/>
  <c r="AN165" i="16"/>
  <c r="AN233" i="16"/>
  <c r="AN234" i="16"/>
  <c r="AO272" i="16"/>
  <c r="AN158" i="16"/>
  <c r="AN21" i="16"/>
  <c r="AN156" i="16"/>
  <c r="AN160" i="16"/>
  <c r="AN198" i="16"/>
  <c r="AN157" i="16"/>
  <c r="AN161" i="16"/>
  <c r="AN159" i="16"/>
  <c r="H230" i="16"/>
  <c r="I269" i="16"/>
  <c r="AN151" i="16"/>
  <c r="X149" i="16"/>
  <c r="X220" i="16"/>
  <c r="X219" i="16"/>
  <c r="X228" i="16"/>
  <c r="Y267" i="16"/>
  <c r="X10" i="16"/>
  <c r="X227" i="16"/>
  <c r="AZ238" i="16"/>
  <c r="AZ167" i="16"/>
  <c r="BA276" i="16"/>
  <c r="AZ168" i="16"/>
  <c r="AZ239" i="16"/>
  <c r="AZ208" i="16"/>
  <c r="AZ169" i="16"/>
  <c r="AZ166" i="16"/>
  <c r="AZ165" i="16"/>
  <c r="BA275" i="16"/>
  <c r="AZ205" i="16"/>
  <c r="T164" i="16"/>
  <c r="U274" i="16"/>
  <c r="T163" i="16"/>
  <c r="AZ159" i="16"/>
  <c r="BA272" i="16"/>
  <c r="AZ233" i="16"/>
  <c r="AZ234" i="16"/>
  <c r="AZ161" i="16"/>
  <c r="AZ21" i="16"/>
  <c r="AZ157" i="16"/>
  <c r="AZ158" i="16"/>
  <c r="AZ198" i="16"/>
  <c r="AJ151" i="16"/>
  <c r="T149" i="16"/>
  <c r="U267" i="16"/>
  <c r="T228" i="16"/>
  <c r="T220" i="16"/>
  <c r="T227" i="16"/>
  <c r="T219" i="16"/>
  <c r="P165" i="16"/>
  <c r="Q275" i="16"/>
  <c r="P205" i="16"/>
  <c r="AV164" i="16"/>
  <c r="AV163" i="16"/>
  <c r="AW274" i="16"/>
  <c r="P162" i="16"/>
  <c r="Q272" i="16"/>
  <c r="P233" i="16"/>
  <c r="P160" i="16"/>
  <c r="P234" i="16"/>
  <c r="P159" i="16"/>
  <c r="P161" i="16"/>
  <c r="P156" i="16"/>
  <c r="P158" i="16"/>
  <c r="P157" i="16"/>
  <c r="P198" i="16"/>
  <c r="AF230" i="16"/>
  <c r="AF154" i="16"/>
  <c r="AF153" i="16"/>
  <c r="AG269" i="16"/>
  <c r="AF152" i="16"/>
  <c r="AF155" i="16"/>
  <c r="AV228" i="16"/>
  <c r="AV246" i="16"/>
  <c r="AW267" i="16"/>
  <c r="AV224" i="16"/>
  <c r="AV220" i="16"/>
  <c r="AV149" i="16"/>
  <c r="AV227" i="16"/>
  <c r="AV219" i="16"/>
  <c r="AV10" i="16"/>
  <c r="AV197" i="16" s="1"/>
  <c r="AV148" i="16"/>
  <c r="AV223" i="16"/>
  <c r="AB151" i="16"/>
  <c r="L228" i="16"/>
  <c r="L227" i="16"/>
  <c r="L219" i="16"/>
  <c r="L220" i="16"/>
  <c r="L60" i="16"/>
  <c r="L246" i="16" s="1"/>
  <c r="AR165" i="16"/>
  <c r="AS275" i="16"/>
  <c r="AR205" i="16"/>
  <c r="AC269" i="16"/>
  <c r="AB154" i="16"/>
  <c r="AB230" i="16"/>
  <c r="AB155" i="16"/>
  <c r="AB153" i="16"/>
  <c r="AB152" i="16"/>
  <c r="L147" i="16"/>
  <c r="AZ91" i="16"/>
  <c r="AZ191" i="16" s="1"/>
  <c r="T91" i="16"/>
  <c r="T191" i="16" s="1"/>
  <c r="AW190" i="16"/>
  <c r="AX290" i="16"/>
  <c r="AH290" i="16"/>
  <c r="AG190" i="16"/>
  <c r="Q190" i="16"/>
  <c r="R290" i="16"/>
  <c r="AX289" i="16"/>
  <c r="AW189" i="16"/>
  <c r="R289" i="16"/>
  <c r="Q189" i="16"/>
  <c r="AW188" i="16"/>
  <c r="AX288" i="16"/>
  <c r="AG188" i="16"/>
  <c r="AH288" i="16"/>
  <c r="Q188" i="16"/>
  <c r="R288" i="16"/>
  <c r="AW187" i="16"/>
  <c r="AX287" i="16"/>
  <c r="AG187" i="16"/>
  <c r="AH287" i="16"/>
  <c r="R287" i="16"/>
  <c r="Q187" i="16"/>
  <c r="AW222" i="16"/>
  <c r="AW186" i="16"/>
  <c r="AX286" i="16"/>
  <c r="AH286" i="16"/>
  <c r="AG186" i="16"/>
  <c r="AG222" i="16"/>
  <c r="R286" i="16"/>
  <c r="Q186" i="16"/>
  <c r="Q222" i="16"/>
  <c r="AX285" i="16"/>
  <c r="AW185" i="16"/>
  <c r="AH285" i="16"/>
  <c r="AG185" i="16"/>
  <c r="R285" i="16"/>
  <c r="Q185" i="16"/>
  <c r="AW184" i="16"/>
  <c r="AX284" i="16"/>
  <c r="AW221" i="16"/>
  <c r="AH284" i="16"/>
  <c r="AG221" i="16"/>
  <c r="AG184" i="16"/>
  <c r="Q221" i="16"/>
  <c r="R284" i="16"/>
  <c r="Q184" i="16"/>
  <c r="AX283" i="16"/>
  <c r="AW183" i="16"/>
  <c r="AG183" i="16"/>
  <c r="AH283" i="16"/>
  <c r="R283" i="16"/>
  <c r="Q183" i="16"/>
  <c r="AU143" i="16"/>
  <c r="AU203" i="16"/>
  <c r="AU142" i="16"/>
  <c r="AR190" i="16"/>
  <c r="AS290" i="16"/>
  <c r="AB190" i="16"/>
  <c r="AC290" i="16"/>
  <c r="AR189" i="16"/>
  <c r="AS289" i="16"/>
  <c r="AB189" i="16"/>
  <c r="AC289" i="16"/>
  <c r="AR188" i="16"/>
  <c r="AS288" i="16"/>
  <c r="AC288" i="16"/>
  <c r="AB188" i="16"/>
  <c r="AR187" i="16"/>
  <c r="AS287" i="16"/>
  <c r="AC287" i="16"/>
  <c r="AB187" i="16"/>
  <c r="AR222" i="16"/>
  <c r="AS286" i="16"/>
  <c r="AR186" i="16"/>
  <c r="AB186" i="16"/>
  <c r="AB222" i="16"/>
  <c r="AC286" i="16"/>
  <c r="L222" i="16"/>
  <c r="AR185" i="16"/>
  <c r="AS285" i="16"/>
  <c r="AC285" i="16"/>
  <c r="AB185" i="16"/>
  <c r="AS284" i="16"/>
  <c r="AR184" i="16"/>
  <c r="AR221" i="16"/>
  <c r="AC284" i="16"/>
  <c r="AB184" i="16"/>
  <c r="AB221" i="16"/>
  <c r="L221" i="16"/>
  <c r="AR183" i="16"/>
  <c r="AS283" i="16"/>
  <c r="AC283" i="16"/>
  <c r="AB183" i="16"/>
  <c r="AU190" i="16"/>
  <c r="AV290" i="16"/>
  <c r="AE190" i="16"/>
  <c r="AF290" i="16"/>
  <c r="O190" i="16"/>
  <c r="P290" i="16"/>
  <c r="AU189" i="16"/>
  <c r="AV289" i="16"/>
  <c r="AF289" i="16"/>
  <c r="AE189" i="16"/>
  <c r="O189" i="16"/>
  <c r="P289" i="16"/>
  <c r="AV288" i="16"/>
  <c r="AU188" i="16"/>
  <c r="AE188" i="16"/>
  <c r="AF288" i="16"/>
  <c r="O188" i="16"/>
  <c r="P288" i="16"/>
  <c r="AU187" i="16"/>
  <c r="AV287" i="16"/>
  <c r="AE187" i="16"/>
  <c r="AF287" i="16"/>
  <c r="O187" i="16"/>
  <c r="P287" i="16"/>
  <c r="AU186" i="16"/>
  <c r="AV286" i="16"/>
  <c r="AU222" i="16"/>
  <c r="AF286" i="16"/>
  <c r="AE186" i="16"/>
  <c r="AE222" i="16"/>
  <c r="O186" i="16"/>
  <c r="O222" i="16"/>
  <c r="P286" i="16"/>
  <c r="AV285" i="16"/>
  <c r="AU185" i="16"/>
  <c r="AF285" i="16"/>
  <c r="AE185" i="16"/>
  <c r="P285" i="16"/>
  <c r="O185" i="16"/>
  <c r="AU221" i="16"/>
  <c r="AU184" i="16"/>
  <c r="AV284" i="16"/>
  <c r="AF284" i="16"/>
  <c r="AE184" i="16"/>
  <c r="AE221" i="16"/>
  <c r="O184" i="16"/>
  <c r="O221" i="16"/>
  <c r="P284" i="16"/>
  <c r="AV283" i="16"/>
  <c r="AU183" i="16"/>
  <c r="AF283" i="16"/>
  <c r="AE183" i="16"/>
  <c r="AX190" i="16"/>
  <c r="AY290" i="16"/>
  <c r="AI289" i="16"/>
  <c r="AH189" i="16"/>
  <c r="AY287" i="16"/>
  <c r="AX187" i="16"/>
  <c r="S286" i="16"/>
  <c r="R186" i="16"/>
  <c r="R222" i="16"/>
  <c r="AH221" i="16"/>
  <c r="AH184" i="16"/>
  <c r="AI284" i="16"/>
  <c r="S283" i="16"/>
  <c r="R183" i="16"/>
  <c r="AO237" i="16"/>
  <c r="AP278" i="16"/>
  <c r="AO139" i="16"/>
  <c r="Y139" i="16"/>
  <c r="Z278" i="16"/>
  <c r="Y237" i="16"/>
  <c r="I237" i="16"/>
  <c r="J278" i="16"/>
  <c r="AG48" i="16"/>
  <c r="Q48" i="16"/>
  <c r="Q179" i="16" s="1"/>
  <c r="AD190" i="16"/>
  <c r="AE290" i="16"/>
  <c r="N189" i="16"/>
  <c r="O289" i="16"/>
  <c r="AU288" i="16"/>
  <c r="AT188" i="16"/>
  <c r="O284" i="16"/>
  <c r="N221" i="16"/>
  <c r="N184" i="16"/>
  <c r="AO278" i="16"/>
  <c r="AN237" i="16"/>
  <c r="AN139" i="16"/>
  <c r="I278" i="16"/>
  <c r="H237" i="16"/>
  <c r="AV48" i="16"/>
  <c r="AV179" i="16" s="1"/>
  <c r="AF48" i="16"/>
  <c r="AF179" i="16" s="1"/>
  <c r="P48" i="16"/>
  <c r="P179" i="16" s="1"/>
  <c r="O140" i="16"/>
  <c r="AP190" i="16"/>
  <c r="AQ290" i="16"/>
  <c r="Z189" i="16"/>
  <c r="AA289" i="16"/>
  <c r="AP187" i="16"/>
  <c r="AQ287" i="16"/>
  <c r="J222" i="16"/>
  <c r="K286" i="16"/>
  <c r="Z184" i="16"/>
  <c r="AA284" i="16"/>
  <c r="AV278" i="16"/>
  <c r="AF278" i="16"/>
  <c r="AE139" i="16"/>
  <c r="AE237" i="16"/>
  <c r="O139" i="16"/>
  <c r="P278" i="16"/>
  <c r="O237" i="16"/>
  <c r="AM289" i="16"/>
  <c r="AL189" i="16"/>
  <c r="V186" i="16"/>
  <c r="V222" i="16"/>
  <c r="W286" i="16"/>
  <c r="F243" i="16"/>
  <c r="G277" i="16"/>
  <c r="AL202" i="16"/>
  <c r="AL240" i="16"/>
  <c r="AL178" i="16"/>
  <c r="AL244" i="16"/>
  <c r="V177" i="16"/>
  <c r="V202" i="16"/>
  <c r="V244" i="16"/>
  <c r="V178" i="16"/>
  <c r="V240" i="16"/>
  <c r="F240" i="16"/>
  <c r="F244" i="16"/>
  <c r="F202" i="16"/>
  <c r="AT200" i="16"/>
  <c r="AT175" i="16"/>
  <c r="N175" i="16"/>
  <c r="N200" i="16"/>
  <c r="AT174" i="16"/>
  <c r="AD174" i="16"/>
  <c r="N174" i="16"/>
  <c r="AT173" i="16"/>
  <c r="AD173" i="16"/>
  <c r="N173" i="16"/>
  <c r="AT199" i="16"/>
  <c r="AT35" i="16"/>
  <c r="AT172" i="16"/>
  <c r="AD199" i="16"/>
  <c r="AD172" i="16"/>
  <c r="N172" i="16"/>
  <c r="N199" i="16"/>
  <c r="AT211" i="16"/>
  <c r="AT171" i="16"/>
  <c r="AD171" i="16"/>
  <c r="AD211" i="16"/>
  <c r="N171" i="16"/>
  <c r="S48" i="16"/>
  <c r="S179" i="16" s="1"/>
  <c r="BA202" i="16"/>
  <c r="BA177" i="16"/>
  <c r="BA178" i="16"/>
  <c r="BA244" i="16"/>
  <c r="BA240" i="16"/>
  <c r="AK176" i="16"/>
  <c r="AK202" i="16"/>
  <c r="AK244" i="16"/>
  <c r="AK177" i="16"/>
  <c r="AK178" i="16"/>
  <c r="AK240" i="16"/>
  <c r="U240" i="16"/>
  <c r="U244" i="16"/>
  <c r="U177" i="16"/>
  <c r="U178" i="16"/>
  <c r="U202" i="16"/>
  <c r="AO175" i="16"/>
  <c r="AO200" i="16"/>
  <c r="Y175" i="16"/>
  <c r="Y200" i="16"/>
  <c r="AO174" i="16"/>
  <c r="Y174" i="16"/>
  <c r="AO173" i="16"/>
  <c r="Y173" i="16"/>
  <c r="AO172" i="16"/>
  <c r="AO199" i="16"/>
  <c r="AO35" i="16"/>
  <c r="Y35" i="16"/>
  <c r="Y172" i="16"/>
  <c r="Y199" i="16"/>
  <c r="I199" i="16"/>
  <c r="AO171" i="16"/>
  <c r="AO211" i="16"/>
  <c r="G284" i="16"/>
  <c r="F221" i="16"/>
  <c r="AE278" i="16"/>
  <c r="AD237" i="16"/>
  <c r="AD139" i="16"/>
  <c r="AN240" i="16"/>
  <c r="AN202" i="16"/>
  <c r="AN177" i="16"/>
  <c r="AN178" i="16"/>
  <c r="AN244" i="16"/>
  <c r="X176" i="16"/>
  <c r="X244" i="16"/>
  <c r="X178" i="16"/>
  <c r="X240" i="16"/>
  <c r="X202" i="16"/>
  <c r="X177" i="16"/>
  <c r="H240" i="16"/>
  <c r="H202" i="16"/>
  <c r="H244" i="16"/>
  <c r="K138" i="16"/>
  <c r="J236" i="16"/>
  <c r="J243" i="16"/>
  <c r="K277" i="16"/>
  <c r="AE48" i="16"/>
  <c r="AE179" i="16" s="1"/>
  <c r="K202" i="16"/>
  <c r="K244" i="16"/>
  <c r="K240" i="16"/>
  <c r="AF175" i="16"/>
  <c r="AV200" i="16"/>
  <c r="AV175" i="16"/>
  <c r="P175" i="16"/>
  <c r="P200" i="16"/>
  <c r="AV174" i="16"/>
  <c r="AV173" i="16"/>
  <c r="AV199" i="16"/>
  <c r="AV35" i="16"/>
  <c r="AV172" i="16"/>
  <c r="P172" i="16"/>
  <c r="P199" i="16"/>
  <c r="P35" i="16"/>
  <c r="P217" i="16" s="1"/>
  <c r="AV211" i="16"/>
  <c r="AV171" i="16"/>
  <c r="P211" i="16"/>
  <c r="AM170" i="16"/>
  <c r="W170" i="16"/>
  <c r="AM167" i="16"/>
  <c r="AM208" i="16"/>
  <c r="AN276" i="16"/>
  <c r="AM239" i="16"/>
  <c r="AM166" i="16"/>
  <c r="AM238" i="16"/>
  <c r="AM168" i="16"/>
  <c r="W208" i="16"/>
  <c r="W169" i="16"/>
  <c r="X276" i="16"/>
  <c r="W167" i="16"/>
  <c r="W238" i="16"/>
  <c r="W166" i="16"/>
  <c r="W168" i="16"/>
  <c r="W239" i="16"/>
  <c r="G238" i="16"/>
  <c r="H276" i="16"/>
  <c r="AN275" i="16"/>
  <c r="AM205" i="16"/>
  <c r="W165" i="16"/>
  <c r="X275" i="16"/>
  <c r="W205" i="16"/>
  <c r="G205" i="16"/>
  <c r="H275" i="16"/>
  <c r="AN274" i="16"/>
  <c r="AM164" i="16"/>
  <c r="AM163" i="16"/>
  <c r="AM156" i="16"/>
  <c r="AN272" i="16"/>
  <c r="AM159" i="16"/>
  <c r="AM160" i="16"/>
  <c r="AM158" i="16"/>
  <c r="AM157" i="16"/>
  <c r="AM234" i="16"/>
  <c r="AM233" i="16"/>
  <c r="AM198" i="16"/>
  <c r="AM161" i="16"/>
  <c r="AM21" i="16"/>
  <c r="W21" i="16"/>
  <c r="G234" i="16"/>
  <c r="H272" i="16"/>
  <c r="G233" i="16"/>
  <c r="AE154" i="16"/>
  <c r="AE230" i="16"/>
  <c r="AF269" i="16"/>
  <c r="AE153" i="16"/>
  <c r="AE155" i="16"/>
  <c r="AE152" i="16"/>
  <c r="O154" i="16"/>
  <c r="O153" i="16"/>
  <c r="P269" i="16"/>
  <c r="O152" i="16"/>
  <c r="O155" i="16"/>
  <c r="O230" i="16"/>
  <c r="AU151" i="16"/>
  <c r="AE151" i="16"/>
  <c r="O151" i="16"/>
  <c r="AU148" i="16"/>
  <c r="AU246" i="16"/>
  <c r="AU219" i="16"/>
  <c r="AU227" i="16"/>
  <c r="AV267" i="16"/>
  <c r="AU220" i="16"/>
  <c r="AU224" i="16"/>
  <c r="AU223" i="16"/>
  <c r="AU228" i="16"/>
  <c r="AU149" i="16"/>
  <c r="AE228" i="16"/>
  <c r="AE246" i="16"/>
  <c r="AE227" i="16"/>
  <c r="AE224" i="16"/>
  <c r="AE223" i="16"/>
  <c r="AF267" i="16"/>
  <c r="AE219" i="16"/>
  <c r="AE220" i="16"/>
  <c r="AE10" i="16"/>
  <c r="AE149" i="16"/>
  <c r="K68" i="16"/>
  <c r="K52" i="17" s="1"/>
  <c r="K219" i="16"/>
  <c r="L267" i="16"/>
  <c r="K220" i="16"/>
  <c r="K228" i="16"/>
  <c r="K60" i="16"/>
  <c r="L280" i="16" s="1"/>
  <c r="M267" i="16"/>
  <c r="K227" i="16"/>
  <c r="AM202" i="16"/>
  <c r="AM244" i="16"/>
  <c r="AM178" i="16"/>
  <c r="AM176" i="16"/>
  <c r="AM240" i="16"/>
  <c r="AM177" i="16"/>
  <c r="O175" i="16"/>
  <c r="AE175" i="16"/>
  <c r="AE200" i="16"/>
  <c r="AE174" i="16"/>
  <c r="AE173" i="16"/>
  <c r="AU172" i="16"/>
  <c r="AE199" i="16"/>
  <c r="AE172" i="16"/>
  <c r="G217" i="16"/>
  <c r="AT170" i="16"/>
  <c r="N170" i="16"/>
  <c r="AT168" i="16"/>
  <c r="AT239" i="16"/>
  <c r="AT167" i="16"/>
  <c r="AU276" i="16"/>
  <c r="AT166" i="16"/>
  <c r="AT208" i="16"/>
  <c r="AT169" i="16"/>
  <c r="AT238" i="16"/>
  <c r="AD167" i="16"/>
  <c r="AD208" i="16"/>
  <c r="AD239" i="16"/>
  <c r="AD168" i="16"/>
  <c r="AD169" i="16"/>
  <c r="AE276" i="16"/>
  <c r="AD238" i="16"/>
  <c r="N239" i="16"/>
  <c r="O276" i="16"/>
  <c r="N238" i="16"/>
  <c r="O258" i="16"/>
  <c r="N168" i="16"/>
  <c r="N167" i="16"/>
  <c r="N169" i="16"/>
  <c r="N258" i="16"/>
  <c r="N208" i="16"/>
  <c r="N166" i="16"/>
  <c r="AU275" i="16"/>
  <c r="AT165" i="16"/>
  <c r="AT205" i="16"/>
  <c r="AD205" i="16"/>
  <c r="AD165" i="16"/>
  <c r="AE275" i="16"/>
  <c r="O275" i="16"/>
  <c r="N165" i="16"/>
  <c r="N205" i="16"/>
  <c r="AU274" i="16"/>
  <c r="AT164" i="16"/>
  <c r="AT163" i="16"/>
  <c r="AE274" i="16"/>
  <c r="AD164" i="16"/>
  <c r="AD163" i="16"/>
  <c r="O274" i="16"/>
  <c r="N163" i="16"/>
  <c r="N164" i="16"/>
  <c r="AT21" i="16"/>
  <c r="AT233" i="16"/>
  <c r="AT159" i="16"/>
  <c r="AT198" i="16"/>
  <c r="AT158" i="16"/>
  <c r="AU272" i="16"/>
  <c r="AT161" i="16"/>
  <c r="AT156" i="16"/>
  <c r="AT234" i="16"/>
  <c r="AT160" i="16"/>
  <c r="AD233" i="16"/>
  <c r="AD198" i="16"/>
  <c r="AD159" i="16"/>
  <c r="AD21" i="16"/>
  <c r="AD156" i="16"/>
  <c r="AD234" i="16"/>
  <c r="AD160" i="16"/>
  <c r="AD161" i="16"/>
  <c r="AE272" i="16"/>
  <c r="S251" i="16"/>
  <c r="N251" i="16"/>
  <c r="V251" i="16"/>
  <c r="Q251" i="16"/>
  <c r="R251" i="16"/>
  <c r="N157" i="16"/>
  <c r="O272" i="16"/>
  <c r="N162" i="16"/>
  <c r="T251" i="16"/>
  <c r="N156" i="16"/>
  <c r="N21" i="16"/>
  <c r="N198" i="16"/>
  <c r="N158" i="16"/>
  <c r="N160" i="16"/>
  <c r="P251" i="16"/>
  <c r="N234" i="16"/>
  <c r="N159" i="16"/>
  <c r="N161" i="16"/>
  <c r="O251" i="16"/>
  <c r="U251" i="16"/>
  <c r="N233" i="16"/>
  <c r="G271" i="16"/>
  <c r="F231" i="16"/>
  <c r="AL153" i="16"/>
  <c r="AL154" i="16"/>
  <c r="AM269" i="16"/>
  <c r="AL155" i="16"/>
  <c r="AL152" i="16"/>
  <c r="AL230" i="16"/>
  <c r="W269" i="16"/>
  <c r="V154" i="16"/>
  <c r="V153" i="16"/>
  <c r="V152" i="16"/>
  <c r="V230" i="16"/>
  <c r="AL151" i="16"/>
  <c r="AL10" i="16"/>
  <c r="AL126" i="16" s="1"/>
  <c r="AM267" i="16"/>
  <c r="AL228" i="16"/>
  <c r="AL148" i="16"/>
  <c r="AL246" i="16"/>
  <c r="AL224" i="16"/>
  <c r="AL219" i="16"/>
  <c r="AL227" i="16"/>
  <c r="AL220" i="16"/>
  <c r="AL149" i="16"/>
  <c r="AL223" i="16"/>
  <c r="V220" i="16"/>
  <c r="W267" i="16"/>
  <c r="V227" i="16"/>
  <c r="V228" i="16"/>
  <c r="V219" i="16"/>
  <c r="V10" i="16"/>
  <c r="K266" i="16"/>
  <c r="J242" i="16"/>
  <c r="J226" i="16"/>
  <c r="J229" i="16"/>
  <c r="J197" i="16"/>
  <c r="J216" i="16"/>
  <c r="J33" i="16"/>
  <c r="J218" i="16"/>
  <c r="AY178" i="16"/>
  <c r="AY240" i="16"/>
  <c r="AY244" i="16"/>
  <c r="AY202" i="16"/>
  <c r="AY177" i="16"/>
  <c r="AJ200" i="16"/>
  <c r="AJ175" i="16"/>
  <c r="AJ174" i="16"/>
  <c r="AJ173" i="16"/>
  <c r="T172" i="16"/>
  <c r="AJ35" i="16"/>
  <c r="AJ172" i="16"/>
  <c r="AJ199" i="16"/>
  <c r="AJ171" i="16"/>
  <c r="AJ211" i="16"/>
  <c r="L217" i="16"/>
  <c r="AW170" i="16"/>
  <c r="AG170" i="16"/>
  <c r="Q170" i="16"/>
  <c r="AX276" i="16"/>
  <c r="AW239" i="16"/>
  <c r="AW168" i="16"/>
  <c r="AW238" i="16"/>
  <c r="AW169" i="16"/>
  <c r="AW208" i="16"/>
  <c r="AW166" i="16"/>
  <c r="AW167" i="16"/>
  <c r="AG169" i="16"/>
  <c r="AH276" i="16"/>
  <c r="AG208" i="16"/>
  <c r="AG166" i="16"/>
  <c r="AG238" i="16"/>
  <c r="AG168" i="16"/>
  <c r="Q166" i="16"/>
  <c r="R276" i="16"/>
  <c r="Q238" i="16"/>
  <c r="Q167" i="16"/>
  <c r="Q239" i="16"/>
  <c r="Q168" i="16"/>
  <c r="Q169" i="16"/>
  <c r="Q208" i="16"/>
  <c r="AG165" i="16"/>
  <c r="AW165" i="16"/>
  <c r="AW205" i="16"/>
  <c r="AX275" i="16"/>
  <c r="AH275" i="16"/>
  <c r="AG205" i="16"/>
  <c r="Q165" i="16"/>
  <c r="Q205" i="16"/>
  <c r="AW163" i="16"/>
  <c r="AW164" i="16"/>
  <c r="AX274" i="16"/>
  <c r="AH274" i="16"/>
  <c r="AG163" i="16"/>
  <c r="Q163" i="16"/>
  <c r="Q164" i="16"/>
  <c r="R274" i="16"/>
  <c r="AW159" i="16"/>
  <c r="AW233" i="16"/>
  <c r="AW21" i="16"/>
  <c r="AW232" i="16" s="1"/>
  <c r="AW198" i="16"/>
  <c r="AW156" i="16"/>
  <c r="AX272" i="16"/>
  <c r="AW157" i="16"/>
  <c r="AW234" i="16"/>
  <c r="AW158" i="16"/>
  <c r="AW160" i="16"/>
  <c r="AW161" i="16"/>
  <c r="AG157" i="16"/>
  <c r="AG161" i="16"/>
  <c r="AG158" i="16"/>
  <c r="AG160" i="16"/>
  <c r="AG198" i="16"/>
  <c r="AG156" i="16"/>
  <c r="AG233" i="16"/>
  <c r="AH272" i="16"/>
  <c r="AG234" i="16"/>
  <c r="AG159" i="16"/>
  <c r="AG21" i="16"/>
  <c r="Q21" i="16"/>
  <c r="Q271" i="16" s="1"/>
  <c r="R272" i="16"/>
  <c r="Q159" i="16"/>
  <c r="Q157" i="16"/>
  <c r="Q160" i="16"/>
  <c r="Q156" i="16"/>
  <c r="Q234" i="16"/>
  <c r="Q158" i="16"/>
  <c r="Q161" i="16"/>
  <c r="Q233" i="16"/>
  <c r="Q162" i="16"/>
  <c r="Q198" i="16"/>
  <c r="BA230" i="16"/>
  <c r="BA154" i="16"/>
  <c r="BA152" i="16"/>
  <c r="BA153" i="16"/>
  <c r="BA155" i="16"/>
  <c r="AK155" i="16"/>
  <c r="AK152" i="16"/>
  <c r="AL269" i="16"/>
  <c r="AK153" i="16"/>
  <c r="AK230" i="16"/>
  <c r="AK154" i="16"/>
  <c r="U153" i="16"/>
  <c r="U154" i="16"/>
  <c r="U152" i="16"/>
  <c r="U155" i="16"/>
  <c r="U230" i="16"/>
  <c r="V269" i="16"/>
  <c r="BA151" i="16"/>
  <c r="AK151" i="16"/>
  <c r="U151" i="16"/>
  <c r="AK223" i="16"/>
  <c r="AK148" i="16"/>
  <c r="AK219" i="16"/>
  <c r="AK149" i="16"/>
  <c r="AK10" i="16"/>
  <c r="AK226" i="16" s="1"/>
  <c r="AK224" i="16"/>
  <c r="AK227" i="16"/>
  <c r="AK228" i="16"/>
  <c r="AL267" i="16"/>
  <c r="AK220" i="16"/>
  <c r="AK246" i="16"/>
  <c r="U228" i="16"/>
  <c r="V267" i="16"/>
  <c r="U10" i="16"/>
  <c r="U33" i="16" s="1"/>
  <c r="U227" i="16"/>
  <c r="U219" i="16"/>
  <c r="U149" i="16"/>
  <c r="U148" i="16"/>
  <c r="U220" i="16"/>
  <c r="O141" i="16"/>
  <c r="AU202" i="16"/>
  <c r="AU177" i="16"/>
  <c r="AU240" i="16"/>
  <c r="AU244" i="16"/>
  <c r="AU178" i="16"/>
  <c r="AI175" i="16"/>
  <c r="AI200" i="16"/>
  <c r="AI174" i="16"/>
  <c r="AY173" i="16"/>
  <c r="AI173" i="16"/>
  <c r="AI172" i="16"/>
  <c r="AI199" i="16"/>
  <c r="K217" i="16"/>
  <c r="AV170" i="16"/>
  <c r="AF170" i="16"/>
  <c r="X166" i="16"/>
  <c r="X169" i="16"/>
  <c r="X238" i="16"/>
  <c r="X168" i="16"/>
  <c r="Y276" i="16"/>
  <c r="X208" i="16"/>
  <c r="X205" i="16"/>
  <c r="Y275" i="16"/>
  <c r="X165" i="16"/>
  <c r="X157" i="16"/>
  <c r="X160" i="16"/>
  <c r="X234" i="16"/>
  <c r="X158" i="16"/>
  <c r="X156" i="16"/>
  <c r="X159" i="16"/>
  <c r="X161" i="16"/>
  <c r="X198" i="16"/>
  <c r="X233" i="16"/>
  <c r="Y272" i="16"/>
  <c r="X21" i="16"/>
  <c r="Y271" i="16" s="1"/>
  <c r="H228" i="16"/>
  <c r="H67" i="16"/>
  <c r="H51" i="17" s="1"/>
  <c r="H60" i="16"/>
  <c r="H245" i="16" s="1"/>
  <c r="H219" i="16"/>
  <c r="H227" i="16"/>
  <c r="I267" i="16"/>
  <c r="H246" i="16"/>
  <c r="H68" i="16"/>
  <c r="H66" i="16" s="1"/>
  <c r="H220" i="16"/>
  <c r="AJ168" i="16"/>
  <c r="AK276" i="16"/>
  <c r="AJ208" i="16"/>
  <c r="AJ167" i="16"/>
  <c r="AJ166" i="16"/>
  <c r="AJ169" i="16"/>
  <c r="AJ239" i="16"/>
  <c r="AJ238" i="16"/>
  <c r="AJ165" i="16"/>
  <c r="AJ205" i="16"/>
  <c r="AK275" i="16"/>
  <c r="AJ159" i="16"/>
  <c r="AJ233" i="16"/>
  <c r="AJ234" i="16"/>
  <c r="AJ158" i="16"/>
  <c r="AJ198" i="16"/>
  <c r="AJ161" i="16"/>
  <c r="AJ157" i="16"/>
  <c r="AJ21" i="16"/>
  <c r="AK272" i="16"/>
  <c r="AJ156" i="16"/>
  <c r="BA269" i="16"/>
  <c r="AZ153" i="16"/>
  <c r="AZ152" i="16"/>
  <c r="AZ230" i="16"/>
  <c r="AZ154" i="16"/>
  <c r="P170" i="16"/>
  <c r="AF163" i="16"/>
  <c r="AF164" i="16"/>
  <c r="AG274" i="16"/>
  <c r="P230" i="16"/>
  <c r="Q269" i="16"/>
  <c r="P154" i="16"/>
  <c r="P152" i="16"/>
  <c r="P155" i="16"/>
  <c r="P153" i="16"/>
  <c r="AV151" i="16"/>
  <c r="AF224" i="16"/>
  <c r="AF246" i="16"/>
  <c r="AF219" i="16"/>
  <c r="AF148" i="16"/>
  <c r="AF149" i="16"/>
  <c r="AF227" i="16"/>
  <c r="AF228" i="16"/>
  <c r="AF10" i="16"/>
  <c r="AF223" i="16"/>
  <c r="AG267" i="16"/>
  <c r="AF220" i="16"/>
  <c r="AR167" i="16"/>
  <c r="AR168" i="16"/>
  <c r="AR239" i="16"/>
  <c r="AS276" i="16"/>
  <c r="AR208" i="16"/>
  <c r="AR166" i="16"/>
  <c r="AR238" i="16"/>
  <c r="AR169" i="16"/>
  <c r="AR153" i="16"/>
  <c r="AR155" i="16"/>
  <c r="AR230" i="16"/>
  <c r="AR152" i="16"/>
  <c r="AR154" i="16"/>
  <c r="AS269" i="16"/>
  <c r="AB198" i="16"/>
  <c r="AB160" i="16"/>
  <c r="AB158" i="16"/>
  <c r="AB21" i="16"/>
  <c r="AB233" i="16"/>
  <c r="AB159" i="16"/>
  <c r="AB157" i="16"/>
  <c r="AB234" i="16"/>
  <c r="AC272" i="16"/>
  <c r="AB161" i="16"/>
  <c r="AR228" i="16"/>
  <c r="AR149" i="16"/>
  <c r="AR220" i="16"/>
  <c r="AR219" i="16"/>
  <c r="AR223" i="16"/>
  <c r="AR246" i="16"/>
  <c r="AR227" i="16"/>
  <c r="AR10" i="16"/>
  <c r="AR125" i="16" s="1"/>
  <c r="AS267" i="16"/>
  <c r="AR224" i="16"/>
  <c r="AR148" i="16"/>
  <c r="L198" i="16"/>
  <c r="L234" i="16"/>
  <c r="L233" i="16"/>
  <c r="AR151" i="16"/>
  <c r="AB149" i="16"/>
  <c r="AB220" i="16"/>
  <c r="AB228" i="16"/>
  <c r="AB10" i="16"/>
  <c r="AB126" i="16" s="1"/>
  <c r="AB227" i="16"/>
  <c r="AB219" i="16"/>
  <c r="AC267" i="16"/>
  <c r="AB223" i="16"/>
  <c r="AB246" i="16"/>
  <c r="AB224" i="16"/>
  <c r="AO288" i="16"/>
  <c r="AN188" i="16"/>
  <c r="X188" i="16"/>
  <c r="Y288" i="16"/>
  <c r="AO287" i="16"/>
  <c r="AN187" i="16"/>
  <c r="Y287" i="16"/>
  <c r="X187" i="16"/>
  <c r="AN222" i="16"/>
  <c r="AN186" i="16"/>
  <c r="AO286" i="16"/>
  <c r="Y286" i="16"/>
  <c r="X222" i="16"/>
  <c r="X186" i="16"/>
  <c r="I286" i="16"/>
  <c r="H222" i="16"/>
  <c r="AO285" i="16"/>
  <c r="AN185" i="16"/>
  <c r="X185" i="16"/>
  <c r="Y285" i="16"/>
  <c r="AO284" i="16"/>
  <c r="AN184" i="16"/>
  <c r="AN221" i="16"/>
  <c r="X221" i="16"/>
  <c r="X184" i="16"/>
  <c r="Y284" i="16"/>
  <c r="H221" i="16"/>
  <c r="I284" i="16"/>
  <c r="AN183" i="16"/>
  <c r="AO283" i="16"/>
  <c r="X183" i="16"/>
  <c r="Y283" i="16"/>
  <c r="AM143" i="16"/>
  <c r="AY91" i="16"/>
  <c r="AY191" i="16" s="1"/>
  <c r="AQ190" i="16"/>
  <c r="AR290" i="16"/>
  <c r="AB290" i="16"/>
  <c r="AA190" i="16"/>
  <c r="L290" i="16"/>
  <c r="M290" i="16"/>
  <c r="AR289" i="16"/>
  <c r="AQ189" i="16"/>
  <c r="AA189" i="16"/>
  <c r="L289" i="16"/>
  <c r="M289" i="16"/>
  <c r="AQ188" i="16"/>
  <c r="AR288" i="16"/>
  <c r="M288" i="16"/>
  <c r="L288" i="16"/>
  <c r="AQ187" i="16"/>
  <c r="AR287" i="16"/>
  <c r="AB287" i="16"/>
  <c r="AA187" i="16"/>
  <c r="M287" i="16"/>
  <c r="L287" i="16"/>
  <c r="AQ186" i="16"/>
  <c r="AR286" i="16"/>
  <c r="AQ222" i="16"/>
  <c r="AA185" i="16"/>
  <c r="AA186" i="16"/>
  <c r="AA222" i="16"/>
  <c r="AB286" i="16"/>
  <c r="K222" i="16"/>
  <c r="M286" i="16"/>
  <c r="L286" i="16"/>
  <c r="AQ185" i="16"/>
  <c r="AR285" i="16"/>
  <c r="L285" i="16"/>
  <c r="M285" i="16"/>
  <c r="AR284" i="16"/>
  <c r="AQ184" i="16"/>
  <c r="AQ221" i="16"/>
  <c r="AB284" i="16"/>
  <c r="AA184" i="16"/>
  <c r="L284" i="16"/>
  <c r="M284" i="16"/>
  <c r="K221" i="16"/>
  <c r="AQ183" i="16"/>
  <c r="AR283" i="16"/>
  <c r="AA183" i="16"/>
  <c r="AB283" i="16"/>
  <c r="M283" i="16"/>
  <c r="L283" i="16"/>
  <c r="AI290" i="16"/>
  <c r="AH190" i="16"/>
  <c r="R189" i="16"/>
  <c r="S289" i="16"/>
  <c r="AI287" i="16"/>
  <c r="AH187" i="16"/>
  <c r="AY285" i="16"/>
  <c r="AX185" i="16"/>
  <c r="S284" i="16"/>
  <c r="R184" i="16"/>
  <c r="R221" i="16"/>
  <c r="BA139" i="16"/>
  <c r="BA237" i="16"/>
  <c r="AL278" i="16"/>
  <c r="AK139" i="16"/>
  <c r="AK237" i="16"/>
  <c r="U237" i="16"/>
  <c r="V278" i="16"/>
  <c r="U139" i="16"/>
  <c r="N57" i="16"/>
  <c r="N182" i="16" s="1"/>
  <c r="M236" i="16"/>
  <c r="M243" i="16"/>
  <c r="AC48" i="16"/>
  <c r="AC179" i="16" s="1"/>
  <c r="AS48" i="16"/>
  <c r="AS179" i="16" s="1"/>
  <c r="M48" i="16"/>
  <c r="O290" i="16"/>
  <c r="AD188" i="16"/>
  <c r="AE288" i="16"/>
  <c r="O287" i="16"/>
  <c r="N187" i="16"/>
  <c r="AE285" i="16"/>
  <c r="AD185" i="16"/>
  <c r="AT183" i="16"/>
  <c r="AU283" i="16"/>
  <c r="AZ237" i="16"/>
  <c r="AZ139" i="16"/>
  <c r="BA278" i="16"/>
  <c r="AJ237" i="16"/>
  <c r="AK278" i="16"/>
  <c r="AJ139" i="16"/>
  <c r="U278" i="16"/>
  <c r="T237" i="16"/>
  <c r="AB48" i="16"/>
  <c r="AR48" i="16"/>
  <c r="AR179" i="16" s="1"/>
  <c r="AP188" i="16"/>
  <c r="AQ288" i="16"/>
  <c r="Z187" i="16"/>
  <c r="AA287" i="16"/>
  <c r="AQ285" i="16"/>
  <c r="AP185" i="16"/>
  <c r="AQ139" i="16"/>
  <c r="AQ237" i="16"/>
  <c r="AR278" i="16"/>
  <c r="AB278" i="16"/>
  <c r="AA237" i="16"/>
  <c r="AA139" i="16"/>
  <c r="L278" i="16"/>
  <c r="K237" i="16"/>
  <c r="M278" i="16"/>
  <c r="AM278" i="16"/>
  <c r="AL237" i="16"/>
  <c r="AL139" i="16"/>
  <c r="V48" i="16"/>
  <c r="N48" i="16"/>
  <c r="N179" i="16" s="1"/>
  <c r="AH240" i="16"/>
  <c r="AH202" i="16"/>
  <c r="AH244" i="16"/>
  <c r="AH177" i="16"/>
  <c r="AH178" i="16"/>
  <c r="AH176" i="16"/>
  <c r="R244" i="16"/>
  <c r="R240" i="16"/>
  <c r="R178" i="16"/>
  <c r="R202" i="16"/>
  <c r="AP200" i="16"/>
  <c r="AP175" i="16"/>
  <c r="Z175" i="16"/>
  <c r="Z200" i="16"/>
  <c r="AP174" i="16"/>
  <c r="Z174" i="16"/>
  <c r="AP173" i="16"/>
  <c r="AP199" i="16"/>
  <c r="AP172" i="16"/>
  <c r="Z199" i="16"/>
  <c r="Z172" i="16"/>
  <c r="Z35" i="16"/>
  <c r="J199" i="16"/>
  <c r="Z171" i="16"/>
  <c r="Z211" i="16"/>
  <c r="AM287" i="16"/>
  <c r="AL187" i="16"/>
  <c r="V184" i="16"/>
  <c r="W284" i="16"/>
  <c r="AX139" i="16"/>
  <c r="AY278" i="16"/>
  <c r="AX237" i="16"/>
  <c r="AQ48" i="16"/>
  <c r="AQ179" i="16" s="1"/>
  <c r="AW177" i="16"/>
  <c r="AW244" i="16"/>
  <c r="AW240" i="16"/>
  <c r="AW178" i="16"/>
  <c r="AW202" i="16"/>
  <c r="AG202" i="16"/>
  <c r="AG178" i="16"/>
  <c r="AG244" i="16"/>
  <c r="AG240" i="16"/>
  <c r="AG177" i="16"/>
  <c r="Q177" i="16"/>
  <c r="Q244" i="16"/>
  <c r="Q240" i="16"/>
  <c r="Q176" i="16"/>
  <c r="Q202" i="16"/>
  <c r="Q178" i="16"/>
  <c r="Q46" i="16"/>
  <c r="BA175" i="16"/>
  <c r="BA200" i="16"/>
  <c r="BA174" i="16"/>
  <c r="AK174" i="16"/>
  <c r="U174" i="16"/>
  <c r="BA173" i="16"/>
  <c r="AK173" i="16"/>
  <c r="U173" i="16"/>
  <c r="BA199" i="16"/>
  <c r="BA172" i="16"/>
  <c r="BA35" i="16"/>
  <c r="AK199" i="16"/>
  <c r="AK172" i="16"/>
  <c r="U199" i="16"/>
  <c r="U172" i="16"/>
  <c r="BA211" i="16"/>
  <c r="BA171" i="16"/>
  <c r="AK211" i="16"/>
  <c r="AK171" i="16"/>
  <c r="U211" i="16"/>
  <c r="U171" i="16"/>
  <c r="V190" i="16"/>
  <c r="W290" i="16"/>
  <c r="O278" i="16"/>
  <c r="N139" i="16"/>
  <c r="N237" i="16"/>
  <c r="R48" i="16"/>
  <c r="R179" i="16" s="1"/>
  <c r="AZ177" i="16"/>
  <c r="AZ244" i="16"/>
  <c r="AZ178" i="16"/>
  <c r="AZ202" i="16"/>
  <c r="AZ240" i="16"/>
  <c r="AJ177" i="16"/>
  <c r="AJ244" i="16"/>
  <c r="AJ240" i="16"/>
  <c r="AJ202" i="16"/>
  <c r="AJ178" i="16"/>
  <c r="AJ176" i="16"/>
  <c r="T202" i="16"/>
  <c r="T244" i="16"/>
  <c r="T177" i="16"/>
  <c r="T240" i="16"/>
  <c r="T178" i="16"/>
  <c r="T176" i="16"/>
  <c r="AE91" i="16"/>
  <c r="AE191" i="16" s="1"/>
  <c r="AN200" i="16"/>
  <c r="AN175" i="16"/>
  <c r="AN199" i="16"/>
  <c r="H199" i="16"/>
  <c r="AN211" i="16"/>
  <c r="AN171" i="16"/>
  <c r="AY170" i="16"/>
  <c r="AI170" i="16"/>
  <c r="S170" i="16"/>
  <c r="AY166" i="16"/>
  <c r="AY169" i="16"/>
  <c r="AY168" i="16"/>
  <c r="AY238" i="16"/>
  <c r="AY167" i="16"/>
  <c r="AZ276" i="16"/>
  <c r="AY239" i="16"/>
  <c r="AY208" i="16"/>
  <c r="AI238" i="16"/>
  <c r="AI166" i="16"/>
  <c r="AI208" i="16"/>
  <c r="AI168" i="16"/>
  <c r="AI169" i="16"/>
  <c r="AI167" i="16"/>
  <c r="AJ276" i="16"/>
  <c r="AI239" i="16"/>
  <c r="T276" i="16"/>
  <c r="S239" i="16"/>
  <c r="S169" i="16"/>
  <c r="S167" i="16"/>
  <c r="S168" i="16"/>
  <c r="S208" i="16"/>
  <c r="S166" i="16"/>
  <c r="S238" i="16"/>
  <c r="AY165" i="16"/>
  <c r="AY205" i="16"/>
  <c r="AZ275" i="16"/>
  <c r="AI165" i="16"/>
  <c r="AI205" i="16"/>
  <c r="AJ275" i="16"/>
  <c r="T275" i="16"/>
  <c r="S165" i="16"/>
  <c r="S205" i="16"/>
  <c r="AY163" i="16"/>
  <c r="AZ274" i="16"/>
  <c r="AY164" i="16"/>
  <c r="AI163" i="16"/>
  <c r="AI164" i="16"/>
  <c r="AJ274" i="16"/>
  <c r="S164" i="16"/>
  <c r="S163" i="16"/>
  <c r="T274" i="16"/>
  <c r="AY160" i="16"/>
  <c r="AZ272" i="16"/>
  <c r="AY156" i="16"/>
  <c r="AY234" i="16"/>
  <c r="AY158" i="16"/>
  <c r="AY233" i="16"/>
  <c r="AY157" i="16"/>
  <c r="AY198" i="16"/>
  <c r="AY159" i="16"/>
  <c r="AY161" i="16"/>
  <c r="AY21" i="16"/>
  <c r="AI158" i="16"/>
  <c r="AI233" i="16"/>
  <c r="AI157" i="16"/>
  <c r="AJ272" i="16"/>
  <c r="AI234" i="16"/>
  <c r="AI198" i="16"/>
  <c r="AI161" i="16"/>
  <c r="AI156" i="16"/>
  <c r="AI21" i="16"/>
  <c r="AI160" i="16"/>
  <c r="AI159" i="16"/>
  <c r="S161" i="16"/>
  <c r="S158" i="16"/>
  <c r="S233" i="16"/>
  <c r="S157" i="16"/>
  <c r="S198" i="16"/>
  <c r="S160" i="16"/>
  <c r="S234" i="16"/>
  <c r="T272" i="16"/>
  <c r="S21" i="16"/>
  <c r="S271" i="16" s="1"/>
  <c r="S156" i="16"/>
  <c r="M270" i="16"/>
  <c r="L270" i="16"/>
  <c r="AQ155" i="16"/>
  <c r="AQ153" i="16"/>
  <c r="AR269" i="16"/>
  <c r="AQ230" i="16"/>
  <c r="AB269" i="16"/>
  <c r="AA152" i="16"/>
  <c r="AA155" i="16"/>
  <c r="AA153" i="16"/>
  <c r="AA154" i="16"/>
  <c r="AA230" i="16"/>
  <c r="L269" i="16"/>
  <c r="K230" i="16"/>
  <c r="M269" i="16"/>
  <c r="AQ151" i="16"/>
  <c r="AA151" i="16"/>
  <c r="L268" i="16"/>
  <c r="M268" i="16"/>
  <c r="K147" i="16"/>
  <c r="AQ10" i="16"/>
  <c r="AQ128" i="16" s="1"/>
  <c r="AQ224" i="16"/>
  <c r="AQ149" i="16"/>
  <c r="AQ220" i="16"/>
  <c r="AR267" i="16"/>
  <c r="AQ219" i="16"/>
  <c r="AQ227" i="16"/>
  <c r="AQ148" i="16"/>
  <c r="AQ228" i="16"/>
  <c r="AQ246" i="16"/>
  <c r="AQ223" i="16"/>
  <c r="AA148" i="16"/>
  <c r="AA228" i="16"/>
  <c r="AA246" i="16"/>
  <c r="AA220" i="16"/>
  <c r="AA10" i="16"/>
  <c r="AA125" i="16" s="1"/>
  <c r="AA227" i="16"/>
  <c r="AA219" i="16"/>
  <c r="AA224" i="16"/>
  <c r="AA149" i="16"/>
  <c r="AA223" i="16"/>
  <c r="AB267" i="16"/>
  <c r="G220" i="16"/>
  <c r="G60" i="16"/>
  <c r="G246" i="16" s="1"/>
  <c r="G67" i="16"/>
  <c r="G51" i="17" s="1"/>
  <c r="G219" i="16"/>
  <c r="G227" i="16"/>
  <c r="G228" i="16"/>
  <c r="G68" i="16"/>
  <c r="G52" i="17" s="1"/>
  <c r="H267" i="16"/>
  <c r="J237" i="16"/>
  <c r="K278" i="16"/>
  <c r="W178" i="16"/>
  <c r="W202" i="16"/>
  <c r="W244" i="16"/>
  <c r="W177" i="16"/>
  <c r="W240" i="16"/>
  <c r="W176" i="16"/>
  <c r="W172" i="16"/>
  <c r="W199" i="16"/>
  <c r="W35" i="16"/>
  <c r="W171" i="16"/>
  <c r="W211" i="16"/>
  <c r="AP170" i="16"/>
  <c r="AP239" i="16"/>
  <c r="AP169" i="16"/>
  <c r="AP167" i="16"/>
  <c r="AP208" i="16"/>
  <c r="AP168" i="16"/>
  <c r="AP166" i="16"/>
  <c r="AP238" i="16"/>
  <c r="AQ276" i="16"/>
  <c r="Z168" i="16"/>
  <c r="Z208" i="16"/>
  <c r="Z169" i="16"/>
  <c r="AA276" i="16"/>
  <c r="Z167" i="16"/>
  <c r="Z239" i="16"/>
  <c r="Z238" i="16"/>
  <c r="K276" i="16"/>
  <c r="J238" i="16"/>
  <c r="J239" i="16"/>
  <c r="J208" i="16"/>
  <c r="AQ275" i="16"/>
  <c r="AP205" i="16"/>
  <c r="AP165" i="16"/>
  <c r="Z205" i="16"/>
  <c r="AA275" i="16"/>
  <c r="Z165" i="16"/>
  <c r="K275" i="16"/>
  <c r="J205" i="16"/>
  <c r="Z164" i="16"/>
  <c r="Z163" i="16"/>
  <c r="AA274" i="16"/>
  <c r="AP198" i="16"/>
  <c r="AP234" i="16"/>
  <c r="AP157" i="16"/>
  <c r="AP160" i="16"/>
  <c r="AP158" i="16"/>
  <c r="AQ272" i="16"/>
  <c r="AP233" i="16"/>
  <c r="AP161" i="16"/>
  <c r="AP21" i="16"/>
  <c r="Z161" i="16"/>
  <c r="AA272" i="16"/>
  <c r="Z158" i="16"/>
  <c r="Z156" i="16"/>
  <c r="Z157" i="16"/>
  <c r="Z233" i="16"/>
  <c r="Z159" i="16"/>
  <c r="Z234" i="16"/>
  <c r="Z160" i="16"/>
  <c r="Z21" i="16"/>
  <c r="Z198" i="16"/>
  <c r="J198" i="16"/>
  <c r="J233" i="16"/>
  <c r="J234" i="16"/>
  <c r="K272" i="16"/>
  <c r="AY269" i="16"/>
  <c r="AX154" i="16"/>
  <c r="AX152" i="16"/>
  <c r="AX155" i="16"/>
  <c r="AX230" i="16"/>
  <c r="AX153" i="16"/>
  <c r="AI269" i="16"/>
  <c r="AH152" i="16"/>
  <c r="AH155" i="16"/>
  <c r="AH153" i="16"/>
  <c r="AH230" i="16"/>
  <c r="AH154" i="16"/>
  <c r="R155" i="16"/>
  <c r="R230" i="16"/>
  <c r="S269" i="16"/>
  <c r="R153" i="16"/>
  <c r="R152" i="16"/>
  <c r="R154" i="16"/>
  <c r="AX151" i="16"/>
  <c r="AH151" i="16"/>
  <c r="R151" i="16"/>
  <c r="R148" i="16"/>
  <c r="AX148" i="16"/>
  <c r="AX219" i="16"/>
  <c r="AX227" i="16"/>
  <c r="AX10" i="16"/>
  <c r="AX197" i="16" s="1"/>
  <c r="AX246" i="16"/>
  <c r="AY267" i="16"/>
  <c r="AX149" i="16"/>
  <c r="AX223" i="16"/>
  <c r="AX228" i="16"/>
  <c r="AX224" i="16"/>
  <c r="AH149" i="16"/>
  <c r="AI267" i="16"/>
  <c r="AH228" i="16"/>
  <c r="AH224" i="16"/>
  <c r="AH246" i="16"/>
  <c r="AH10" i="16"/>
  <c r="AI266" i="16" s="1"/>
  <c r="AH223" i="16"/>
  <c r="AH227" i="16"/>
  <c r="AH219" i="16"/>
  <c r="AH220" i="16"/>
  <c r="AH148" i="16"/>
  <c r="R220" i="16"/>
  <c r="R228" i="16"/>
  <c r="S267" i="16"/>
  <c r="R10" i="16"/>
  <c r="R219" i="16"/>
  <c r="R227" i="16"/>
  <c r="R149" i="16"/>
  <c r="F226" i="16"/>
  <c r="F216" i="16"/>
  <c r="F33" i="16"/>
  <c r="F242" i="16"/>
  <c r="F229" i="16"/>
  <c r="F218" i="16"/>
  <c r="F197" i="16"/>
  <c r="AI244" i="16"/>
  <c r="AI178" i="16"/>
  <c r="AI240" i="16"/>
  <c r="AI202" i="16"/>
  <c r="AI177" i="16"/>
  <c r="AI176" i="16"/>
  <c r="AB175" i="16"/>
  <c r="AB200" i="16"/>
  <c r="AB35" i="16"/>
  <c r="AB172" i="16"/>
  <c r="AB199" i="16"/>
  <c r="AB211" i="16"/>
  <c r="AB171" i="16"/>
  <c r="AS170" i="16"/>
  <c r="AC170" i="16"/>
  <c r="AS166" i="16"/>
  <c r="AS167" i="16"/>
  <c r="AS168" i="16"/>
  <c r="AT276" i="16"/>
  <c r="AS239" i="16"/>
  <c r="AS208" i="16"/>
  <c r="AS169" i="16"/>
  <c r="AS238" i="16"/>
  <c r="AC239" i="16"/>
  <c r="AC238" i="16"/>
  <c r="AC168" i="16"/>
  <c r="AD276" i="16"/>
  <c r="AC208" i="16"/>
  <c r="AC167" i="16"/>
  <c r="AC166" i="16"/>
  <c r="AC169" i="16"/>
  <c r="M238" i="16"/>
  <c r="N276" i="16"/>
  <c r="M208" i="16"/>
  <c r="AS165" i="16"/>
  <c r="AS205" i="16"/>
  <c r="AT275" i="16"/>
  <c r="AC165" i="16"/>
  <c r="AD275" i="16"/>
  <c r="AC205" i="16"/>
  <c r="N275" i="16"/>
  <c r="M205" i="16"/>
  <c r="AS163" i="16"/>
  <c r="AS164" i="16"/>
  <c r="AT274" i="16"/>
  <c r="AC164" i="16"/>
  <c r="AC163" i="16"/>
  <c r="AD274" i="16"/>
  <c r="AS156" i="16"/>
  <c r="AS21" i="16"/>
  <c r="AS216" i="16" s="1"/>
  <c r="AS159" i="16"/>
  <c r="AS160" i="16"/>
  <c r="AS234" i="16"/>
  <c r="AS233" i="16"/>
  <c r="AT272" i="16"/>
  <c r="AS161" i="16"/>
  <c r="AS198" i="16"/>
  <c r="AS158" i="16"/>
  <c r="AC161" i="16"/>
  <c r="AC234" i="16"/>
  <c r="AC233" i="16"/>
  <c r="AC198" i="16"/>
  <c r="AC157" i="16"/>
  <c r="AD272" i="16"/>
  <c r="AC160" i="16"/>
  <c r="AC21" i="16"/>
  <c r="AC232" i="16" s="1"/>
  <c r="AC156" i="16"/>
  <c r="AC159" i="16"/>
  <c r="M198" i="16"/>
  <c r="N272" i="16"/>
  <c r="M234" i="16"/>
  <c r="M233" i="16"/>
  <c r="M21" i="16"/>
  <c r="M231" i="16" s="1"/>
  <c r="AW152" i="16"/>
  <c r="AX269" i="16"/>
  <c r="AW155" i="16"/>
  <c r="AW154" i="16"/>
  <c r="AW230" i="16"/>
  <c r="AW153" i="16"/>
  <c r="AG154" i="16"/>
  <c r="AG230" i="16"/>
  <c r="AG153" i="16"/>
  <c r="AH269" i="16"/>
  <c r="AG152" i="16"/>
  <c r="AG155" i="16"/>
  <c r="Q230" i="16"/>
  <c r="Q155" i="16"/>
  <c r="Q154" i="16"/>
  <c r="Q153" i="16"/>
  <c r="R269" i="16"/>
  <c r="Q152" i="16"/>
  <c r="AW151" i="16"/>
  <c r="AG151" i="16"/>
  <c r="Q151" i="16"/>
  <c r="Q11" i="16"/>
  <c r="Q10" i="16" s="1"/>
  <c r="AW224" i="16"/>
  <c r="AW219" i="16"/>
  <c r="AW220" i="16"/>
  <c r="AX267" i="16"/>
  <c r="AW149" i="16"/>
  <c r="AW10" i="16"/>
  <c r="AW228" i="16"/>
  <c r="AW246" i="16"/>
  <c r="AW223" i="16"/>
  <c r="AW148" i="16"/>
  <c r="AW227" i="16"/>
  <c r="AG223" i="16"/>
  <c r="AG219" i="16"/>
  <c r="AG149" i="16"/>
  <c r="AG224" i="16"/>
  <c r="AG148" i="16"/>
  <c r="AG220" i="16"/>
  <c r="AG10" i="16"/>
  <c r="AG123" i="16" s="1"/>
  <c r="AH267" i="16"/>
  <c r="AG246" i="16"/>
  <c r="AG228" i="16"/>
  <c r="AG227" i="16"/>
  <c r="N267" i="16"/>
  <c r="M60" i="16"/>
  <c r="M246" i="16" s="1"/>
  <c r="M67" i="16"/>
  <c r="M51" i="17" s="1"/>
  <c r="M219" i="16"/>
  <c r="M68" i="16"/>
  <c r="M66" i="16" s="1"/>
  <c r="M10" i="16"/>
  <c r="M266" i="16" s="1"/>
  <c r="M7" i="16"/>
  <c r="M220" i="16"/>
  <c r="M228" i="16"/>
  <c r="M227" i="16"/>
  <c r="AE177" i="16"/>
  <c r="AE202" i="16"/>
  <c r="AE240" i="16"/>
  <c r="AE178" i="16"/>
  <c r="AE244" i="16"/>
  <c r="AE176" i="16"/>
  <c r="AA200" i="16"/>
  <c r="AA175" i="16"/>
  <c r="AA172" i="16"/>
  <c r="AA199" i="16"/>
  <c r="AA35" i="16"/>
  <c r="AA171" i="16"/>
  <c r="AA211" i="16"/>
  <c r="AR170" i="16"/>
  <c r="X170" i="16"/>
  <c r="I276" i="16"/>
  <c r="H238" i="16"/>
  <c r="H208" i="16"/>
  <c r="H239" i="16"/>
  <c r="H205" i="16"/>
  <c r="I275" i="16"/>
  <c r="AO274" i="16"/>
  <c r="AN164" i="16"/>
  <c r="AN163" i="16"/>
  <c r="H234" i="16"/>
  <c r="H233" i="16"/>
  <c r="I272" i="16"/>
  <c r="H198" i="16"/>
  <c r="H147" i="16"/>
  <c r="H229" i="16"/>
  <c r="I266" i="16"/>
  <c r="H242" i="16"/>
  <c r="H197" i="16"/>
  <c r="H226" i="16"/>
  <c r="T169" i="16"/>
  <c r="T208" i="16"/>
  <c r="T166" i="16"/>
  <c r="T239" i="16"/>
  <c r="U276" i="16"/>
  <c r="T167" i="16"/>
  <c r="T238" i="16"/>
  <c r="T168" i="16"/>
  <c r="T205" i="16"/>
  <c r="U275" i="16"/>
  <c r="T165" i="16"/>
  <c r="BA274" i="16"/>
  <c r="AZ164" i="16"/>
  <c r="AZ163" i="16"/>
  <c r="T157" i="16"/>
  <c r="T234" i="16"/>
  <c r="T233" i="16"/>
  <c r="U272" i="16"/>
  <c r="T161" i="16"/>
  <c r="T160" i="16"/>
  <c r="T156" i="16"/>
  <c r="T198" i="16"/>
  <c r="T158" i="16"/>
  <c r="T159" i="16"/>
  <c r="T21" i="16"/>
  <c r="AJ152" i="16"/>
  <c r="AJ154" i="16"/>
  <c r="AJ230" i="16"/>
  <c r="AJ155" i="16"/>
  <c r="AJ153" i="16"/>
  <c r="AK269" i="16"/>
  <c r="BA267" i="16"/>
  <c r="AZ10" i="16"/>
  <c r="AZ197" i="16" s="1"/>
  <c r="AZ201" i="16" s="1"/>
  <c r="AZ148" i="16"/>
  <c r="AZ219" i="16"/>
  <c r="AZ149" i="16"/>
  <c r="AZ227" i="16"/>
  <c r="AZ228" i="16"/>
  <c r="AZ220" i="16"/>
  <c r="AZ224" i="16"/>
  <c r="AZ223" i="16"/>
  <c r="AZ246" i="16"/>
  <c r="AV166" i="16"/>
  <c r="AV239" i="16"/>
  <c r="AV208" i="16"/>
  <c r="AV238" i="16"/>
  <c r="AV169" i="16"/>
  <c r="AV168" i="16"/>
  <c r="AW276" i="16"/>
  <c r="AV167" i="16"/>
  <c r="AW275" i="16"/>
  <c r="AV165" i="16"/>
  <c r="AV205" i="16"/>
  <c r="Q274" i="16"/>
  <c r="P164" i="16"/>
  <c r="AV160" i="16"/>
  <c r="AV21" i="16"/>
  <c r="AW271" i="16" s="1"/>
  <c r="AV234" i="16"/>
  <c r="AW272" i="16"/>
  <c r="AV158" i="16"/>
  <c r="AV159" i="16"/>
  <c r="AV156" i="16"/>
  <c r="AV157" i="16"/>
  <c r="AV198" i="16"/>
  <c r="AV161" i="16"/>
  <c r="AV233" i="16"/>
  <c r="AF151" i="16"/>
  <c r="AC275" i="16"/>
  <c r="AB205" i="16"/>
  <c r="AB165" i="16"/>
  <c r="AB170" i="16"/>
  <c r="L226" i="16"/>
  <c r="L197" i="16"/>
  <c r="L229" i="16"/>
  <c r="L245" i="16"/>
  <c r="AD176" i="16"/>
  <c r="AD179" i="16"/>
  <c r="N228" i="16"/>
  <c r="N149" i="16"/>
  <c r="N219" i="16"/>
  <c r="N67" i="16"/>
  <c r="N51" i="17" s="1"/>
  <c r="N150" i="16"/>
  <c r="N250" i="16"/>
  <c r="N220" i="16"/>
  <c r="N227" i="16"/>
  <c r="N68" i="16"/>
  <c r="N52" i="17" s="1"/>
  <c r="N10" i="16"/>
  <c r="N216" i="16" s="1"/>
  <c r="AI197" i="16"/>
  <c r="AI127" i="16"/>
  <c r="AI123" i="16"/>
  <c r="AI125" i="16"/>
  <c r="AI124" i="16"/>
  <c r="AJ266" i="16"/>
  <c r="AI216" i="16"/>
  <c r="AI226" i="16"/>
  <c r="AI126" i="16"/>
  <c r="AI33" i="16"/>
  <c r="AI144" i="16" s="1"/>
  <c r="AI245" i="16"/>
  <c r="AI242" i="16"/>
  <c r="AI128" i="16"/>
  <c r="AI229" i="16"/>
  <c r="AS126" i="16"/>
  <c r="AS123" i="16"/>
  <c r="AT266" i="16"/>
  <c r="AS242" i="16"/>
  <c r="AS197" i="16"/>
  <c r="AS201" i="16" s="1"/>
  <c r="AS127" i="16"/>
  <c r="AS229" i="16"/>
  <c r="AS124" i="16"/>
  <c r="AS125" i="16"/>
  <c r="AS245" i="16"/>
  <c r="AS128" i="16"/>
  <c r="AS226" i="16"/>
  <c r="P232" i="16"/>
  <c r="P231" i="16"/>
  <c r="AU216" i="16"/>
  <c r="AU123" i="16"/>
  <c r="AU125" i="16"/>
  <c r="AU226" i="16"/>
  <c r="AU242" i="16"/>
  <c r="AU128" i="16"/>
  <c r="AU124" i="16"/>
  <c r="AU229" i="16"/>
  <c r="AU127" i="16"/>
  <c r="AU126" i="16"/>
  <c r="AU197" i="16"/>
  <c r="AU201" i="16" s="1"/>
  <c r="AU245" i="16"/>
  <c r="AV266" i="16"/>
  <c r="AU33" i="16"/>
  <c r="AU146" i="16" s="1"/>
  <c r="T226" i="16"/>
  <c r="T216" i="16"/>
  <c r="U266" i="16"/>
  <c r="T229" i="16"/>
  <c r="T197" i="16"/>
  <c r="T201" i="16" s="1"/>
  <c r="T33" i="16"/>
  <c r="T144" i="16" s="1"/>
  <c r="BA242" i="16"/>
  <c r="BA33" i="16"/>
  <c r="BA146" i="16" s="1"/>
  <c r="BA229" i="16"/>
  <c r="BA125" i="16"/>
  <c r="BA216" i="16"/>
  <c r="BA123" i="16"/>
  <c r="BA245" i="16"/>
  <c r="BA197" i="16"/>
  <c r="BA201" i="16" s="1"/>
  <c r="BA124" i="16"/>
  <c r="BA226" i="16"/>
  <c r="BA128" i="16"/>
  <c r="BA126" i="16"/>
  <c r="BA127" i="16"/>
  <c r="T255" i="12"/>
  <c r="AA255" i="12"/>
  <c r="AF255" i="12"/>
  <c r="Z255" i="12"/>
  <c r="AU201" i="12"/>
  <c r="AU206" i="12" s="1"/>
  <c r="AU210" i="12" s="1"/>
  <c r="AU212" i="12" s="1"/>
  <c r="AQ201" i="12"/>
  <c r="AQ206" i="12" s="1"/>
  <c r="AQ210" i="12" s="1"/>
  <c r="AQ212" i="12" s="1"/>
  <c r="AM201" i="12"/>
  <c r="AM206" i="12" s="1"/>
  <c r="AM210" i="12" s="1"/>
  <c r="AM212" i="12" s="1"/>
  <c r="AA201" i="12"/>
  <c r="AA206" i="12" s="1"/>
  <c r="AA210" i="12" s="1"/>
  <c r="AA212" i="12" s="1"/>
  <c r="S201" i="12"/>
  <c r="S206" i="12" s="1"/>
  <c r="S210" i="12" s="1"/>
  <c r="S212" i="12" s="1"/>
  <c r="O201" i="12"/>
  <c r="O206" i="12" s="1"/>
  <c r="O210" i="12" s="1"/>
  <c r="O212" i="12" s="1"/>
  <c r="T259" i="12"/>
  <c r="X259" i="12"/>
  <c r="P259" i="12"/>
  <c r="W259" i="12"/>
  <c r="AP201" i="12"/>
  <c r="AP206" i="12" s="1"/>
  <c r="AP210" i="12" s="1"/>
  <c r="AH201" i="12"/>
  <c r="AH206" i="12" s="1"/>
  <c r="AH210" i="12" s="1"/>
  <c r="AH212" i="12" s="1"/>
  <c r="Z201" i="12"/>
  <c r="Z206" i="12" s="1"/>
  <c r="Z210" i="12" s="1"/>
  <c r="Z212" i="12" s="1"/>
  <c r="F201" i="12"/>
  <c r="F206" i="12" s="1"/>
  <c r="F210" i="12" s="1"/>
  <c r="F212" i="12" s="1"/>
  <c r="AG201" i="12"/>
  <c r="AG206" i="12" s="1"/>
  <c r="AG210" i="12" s="1"/>
  <c r="AG212" i="12" s="1"/>
  <c r="Y201" i="12"/>
  <c r="Y206" i="12" s="1"/>
  <c r="Y210" i="12" s="1"/>
  <c r="Y212" i="12" s="1"/>
  <c r="U201" i="12"/>
  <c r="U206" i="12" s="1"/>
  <c r="U210" i="12" s="1"/>
  <c r="U212" i="12" s="1"/>
  <c r="Q201" i="12"/>
  <c r="Q206" i="12" s="1"/>
  <c r="Q210" i="12" s="1"/>
  <c r="Q212" i="12" s="1"/>
  <c r="X201" i="12"/>
  <c r="X206" i="12" s="1"/>
  <c r="H201" i="12"/>
  <c r="H206" i="12" s="1"/>
  <c r="H210" i="12" s="1"/>
  <c r="H212" i="12" s="1"/>
  <c r="P201" i="12"/>
  <c r="P206" i="12" s="1"/>
  <c r="P210" i="12" s="1"/>
  <c r="P212" i="12" s="1"/>
  <c r="AR201" i="12"/>
  <c r="AR206" i="12" s="1"/>
  <c r="AR210" i="12" s="1"/>
  <c r="AR212" i="12" s="1"/>
  <c r="O255" i="12"/>
  <c r="Y255" i="12"/>
  <c r="P255" i="12"/>
  <c r="AY201" i="12"/>
  <c r="AY206" i="12" s="1"/>
  <c r="AY210" i="12" s="1"/>
  <c r="AY212" i="12" s="1"/>
  <c r="W201" i="12"/>
  <c r="W206" i="12" s="1"/>
  <c r="W210" i="12" s="1"/>
  <c r="W212" i="12" s="1"/>
  <c r="K201" i="12"/>
  <c r="K206" i="12" s="1"/>
  <c r="K210" i="12" s="1"/>
  <c r="K212" i="12" s="1"/>
  <c r="S259" i="12"/>
  <c r="AO259" i="12"/>
  <c r="V259" i="12"/>
  <c r="Q259" i="12"/>
  <c r="AT201" i="12"/>
  <c r="AT206" i="12" s="1"/>
  <c r="AT210" i="12" s="1"/>
  <c r="AT212" i="12" s="1"/>
  <c r="AS201" i="12"/>
  <c r="AS206" i="12" s="1"/>
  <c r="AS210" i="12" s="1"/>
  <c r="AS212" i="12" s="1"/>
  <c r="M201" i="12"/>
  <c r="M206" i="12" s="1"/>
  <c r="M210" i="12" s="1"/>
  <c r="M212" i="12" s="1"/>
  <c r="T201" i="12"/>
  <c r="T206" i="12" s="1"/>
  <c r="T210" i="12" s="1"/>
  <c r="T212" i="12" s="1"/>
  <c r="AV201" i="12"/>
  <c r="AV206" i="12" s="1"/>
  <c r="AV210" i="12" s="1"/>
  <c r="AV212" i="12" s="1"/>
  <c r="AB201" i="12"/>
  <c r="AB206" i="12" s="1"/>
  <c r="AB210" i="12" s="1"/>
  <c r="AB212" i="12" s="1"/>
  <c r="N255" i="12"/>
  <c r="V255" i="12"/>
  <c r="X255" i="12"/>
  <c r="AI201" i="12"/>
  <c r="AI206" i="12" s="1"/>
  <c r="AI210" i="12" s="1"/>
  <c r="AI212" i="12" s="1"/>
  <c r="O259" i="12"/>
  <c r="U259" i="12"/>
  <c r="AK201" i="12"/>
  <c r="AK206" i="12" s="1"/>
  <c r="AK210" i="12" s="1"/>
  <c r="AK212" i="12" s="1"/>
  <c r="AC201" i="12"/>
  <c r="AC206" i="12" s="1"/>
  <c r="AC210" i="12" s="1"/>
  <c r="AC212" i="12" s="1"/>
  <c r="I201" i="12"/>
  <c r="I206" i="12" s="1"/>
  <c r="I210" i="12" s="1"/>
  <c r="I212" i="12" s="1"/>
  <c r="AJ201" i="12"/>
  <c r="AJ206" i="12" s="1"/>
  <c r="AJ210" i="12" s="1"/>
  <c r="AJ212" i="12" s="1"/>
  <c r="AF201" i="12"/>
  <c r="AF206" i="12" s="1"/>
  <c r="AF210" i="12" s="1"/>
  <c r="AF212" i="12" s="1"/>
  <c r="L201" i="12"/>
  <c r="L206" i="12" s="1"/>
  <c r="L210" i="12" s="1"/>
  <c r="L212" i="12" s="1"/>
  <c r="R255" i="12"/>
  <c r="AE201" i="12"/>
  <c r="AE206" i="12" s="1"/>
  <c r="AE210" i="12" s="1"/>
  <c r="AE212" i="12" s="1"/>
  <c r="Y259" i="12"/>
  <c r="R259" i="12"/>
  <c r="N259" i="12"/>
  <c r="AX201" i="12"/>
  <c r="AX206" i="12" s="1"/>
  <c r="AX210" i="12" s="1"/>
  <c r="AX212" i="12" s="1"/>
  <c r="AL201" i="12"/>
  <c r="AD201" i="12"/>
  <c r="AD206" i="12" s="1"/>
  <c r="AD210" i="12" s="1"/>
  <c r="AD212" i="12" s="1"/>
  <c r="V201" i="12"/>
  <c r="V206" i="12" s="1"/>
  <c r="V210" i="12" s="1"/>
  <c r="V212" i="12" s="1"/>
  <c r="R201" i="12"/>
  <c r="R206" i="12" s="1"/>
  <c r="R210" i="12" s="1"/>
  <c r="R212" i="12" s="1"/>
  <c r="N201" i="12"/>
  <c r="N206" i="12" s="1"/>
  <c r="N210" i="12" s="1"/>
  <c r="N212" i="12" s="1"/>
  <c r="J201" i="12"/>
  <c r="J206" i="12" s="1"/>
  <c r="J210" i="12" s="1"/>
  <c r="J212" i="12" s="1"/>
  <c r="BA201" i="12"/>
  <c r="BA206" i="12" s="1"/>
  <c r="BA210" i="12" s="1"/>
  <c r="BA212" i="12" s="1"/>
  <c r="AW201" i="12"/>
  <c r="AW206" i="12" s="1"/>
  <c r="AW210" i="12" s="1"/>
  <c r="AW212" i="12" s="1"/>
  <c r="AO201" i="12"/>
  <c r="AO206" i="12" s="1"/>
  <c r="AO210" i="12" s="1"/>
  <c r="AO212" i="12" s="1"/>
  <c r="AZ201" i="12"/>
  <c r="AZ206" i="12" s="1"/>
  <c r="AZ210" i="12" s="1"/>
  <c r="AZ212" i="12" s="1"/>
  <c r="AA176" i="16"/>
  <c r="AS33" i="16"/>
  <c r="AS144" i="16" s="1"/>
  <c r="U271" i="16"/>
  <c r="T231" i="16"/>
  <c r="T232" i="16"/>
  <c r="M48" i="17"/>
  <c r="M247" i="16"/>
  <c r="N271" i="16"/>
  <c r="M232" i="16"/>
  <c r="AD271" i="16"/>
  <c r="AC231" i="16"/>
  <c r="AP232" i="16"/>
  <c r="AQ271" i="16"/>
  <c r="AP231" i="16"/>
  <c r="N138" i="16"/>
  <c r="N243" i="16"/>
  <c r="N236" i="16"/>
  <c r="AB229" i="16"/>
  <c r="AB125" i="16"/>
  <c r="AB197" i="16"/>
  <c r="AB128" i="16"/>
  <c r="AB127" i="16"/>
  <c r="AB123" i="16"/>
  <c r="AB226" i="16"/>
  <c r="AR197" i="16"/>
  <c r="AR127" i="16"/>
  <c r="AR216" i="16"/>
  <c r="AR128" i="16"/>
  <c r="AR123" i="16"/>
  <c r="AR245" i="16"/>
  <c r="AR33" i="16"/>
  <c r="AR146" i="16" s="1"/>
  <c r="AR229" i="16"/>
  <c r="AR242" i="16"/>
  <c r="AR126" i="16"/>
  <c r="AS266" i="16"/>
  <c r="AK271" i="16"/>
  <c r="AJ231" i="16"/>
  <c r="AJ232" i="16"/>
  <c r="AL266" i="16"/>
  <c r="AK216" i="16"/>
  <c r="AK123" i="16"/>
  <c r="AK125" i="16"/>
  <c r="AK245" i="16"/>
  <c r="AK197" i="16"/>
  <c r="AK127" i="16"/>
  <c r="AK124" i="16"/>
  <c r="AG231" i="16"/>
  <c r="AH271" i="16"/>
  <c r="AG232" i="16"/>
  <c r="AX271" i="16"/>
  <c r="AW231" i="16"/>
  <c r="N232" i="16"/>
  <c r="O271" i="16"/>
  <c r="N231" i="16"/>
  <c r="K247" i="16"/>
  <c r="K48" i="17"/>
  <c r="M280" i="16"/>
  <c r="AE125" i="16"/>
  <c r="AE33" i="16"/>
  <c r="AE144" i="16" s="1"/>
  <c r="AE229" i="16"/>
  <c r="AE124" i="16"/>
  <c r="AE127" i="16"/>
  <c r="AF266" i="16"/>
  <c r="AE123" i="16"/>
  <c r="AE197" i="16"/>
  <c r="AE201" i="16" s="1"/>
  <c r="AE242" i="16"/>
  <c r="AE245" i="16"/>
  <c r="AE128" i="16"/>
  <c r="AE216" i="16"/>
  <c r="AE226" i="16"/>
  <c r="AE126" i="16"/>
  <c r="W232" i="16"/>
  <c r="W231" i="16"/>
  <c r="L48" i="17"/>
  <c r="L247" i="16"/>
  <c r="AN232" i="16"/>
  <c r="AO271" i="16"/>
  <c r="AN231" i="16"/>
  <c r="R232" i="16"/>
  <c r="R231" i="16"/>
  <c r="AY197" i="16"/>
  <c r="AY201" i="16" s="1"/>
  <c r="AY128" i="16"/>
  <c r="AY123" i="16"/>
  <c r="AY216" i="16"/>
  <c r="AY126" i="16"/>
  <c r="AY124" i="16"/>
  <c r="AY245" i="16"/>
  <c r="AY229" i="16"/>
  <c r="AY125" i="16"/>
  <c r="AY226" i="16"/>
  <c r="AY242" i="16"/>
  <c r="AZ266" i="16"/>
  <c r="AY33" i="16"/>
  <c r="AY146" i="16" s="1"/>
  <c r="AY127" i="16"/>
  <c r="Z176" i="16"/>
  <c r="U176" i="16"/>
  <c r="U179" i="16"/>
  <c r="S176" i="16"/>
  <c r="O231" i="16"/>
  <c r="P271" i="16"/>
  <c r="O232" i="16"/>
  <c r="AF176" i="16"/>
  <c r="AC176" i="16"/>
  <c r="AN179" i="16"/>
  <c r="AN176" i="16"/>
  <c r="AV231" i="16"/>
  <c r="AV232" i="16"/>
  <c r="AA271" i="16"/>
  <c r="Z231" i="16"/>
  <c r="Z232" i="16"/>
  <c r="G48" i="17"/>
  <c r="G247" i="16"/>
  <c r="V179" i="16"/>
  <c r="V176" i="16"/>
  <c r="AE271" i="16"/>
  <c r="AD231" i="16"/>
  <c r="AD232" i="16"/>
  <c r="AT232" i="16"/>
  <c r="AU271" i="16"/>
  <c r="AT231" i="16"/>
  <c r="AN271" i="16"/>
  <c r="AM232" i="16"/>
  <c r="AM231" i="16"/>
  <c r="AV124" i="16"/>
  <c r="AV242" i="16"/>
  <c r="AV128" i="16"/>
  <c r="AV226" i="16"/>
  <c r="AV123" i="16"/>
  <c r="AW266" i="16"/>
  <c r="AV126" i="16"/>
  <c r="AV127" i="16"/>
  <c r="AV33" i="16"/>
  <c r="AV145" i="16" s="1"/>
  <c r="AZ231" i="16"/>
  <c r="AZ232" i="16"/>
  <c r="BA271" i="16"/>
  <c r="X197" i="16"/>
  <c r="X201" i="16" s="1"/>
  <c r="X229" i="16"/>
  <c r="X226" i="16"/>
  <c r="X216" i="16"/>
  <c r="AO126" i="16"/>
  <c r="AO229" i="16"/>
  <c r="AO128" i="16"/>
  <c r="AO242" i="16"/>
  <c r="AO127" i="16"/>
  <c r="AO124" i="16"/>
  <c r="AO197" i="16"/>
  <c r="AP266" i="16"/>
  <c r="AO125" i="16"/>
  <c r="AO245" i="16"/>
  <c r="AO226" i="16"/>
  <c r="AO123" i="16"/>
  <c r="Z127" i="16"/>
  <c r="Z216" i="16"/>
  <c r="Z33" i="16"/>
  <c r="Z145" i="16" s="1"/>
  <c r="Z124" i="16"/>
  <c r="Z197" i="16"/>
  <c r="Z201" i="16" s="1"/>
  <c r="Z126" i="16"/>
  <c r="AA266" i="16"/>
  <c r="Z229" i="16"/>
  <c r="Z226" i="16"/>
  <c r="Z123" i="16"/>
  <c r="AX232" i="16"/>
  <c r="AY271" i="16"/>
  <c r="AX231" i="16"/>
  <c r="AA231" i="16"/>
  <c r="AA232" i="16"/>
  <c r="AB271" i="16"/>
  <c r="O176" i="16"/>
  <c r="Y232" i="16"/>
  <c r="Y231" i="16"/>
  <c r="Z271" i="16"/>
  <c r="AD242" i="16"/>
  <c r="AD127" i="16"/>
  <c r="AD126" i="16"/>
  <c r="AD33" i="16"/>
  <c r="AD144" i="16" s="1"/>
  <c r="AD229" i="16"/>
  <c r="AD197" i="16"/>
  <c r="AD201" i="16" s="1"/>
  <c r="AD128" i="16"/>
  <c r="AD226" i="16"/>
  <c r="AD245" i="16"/>
  <c r="AD125" i="16"/>
  <c r="AD123" i="16"/>
  <c r="AD216" i="16"/>
  <c r="AE266" i="16"/>
  <c r="AD124" i="16"/>
  <c r="W229" i="16"/>
  <c r="W197" i="16"/>
  <c r="X266" i="16"/>
  <c r="W226" i="16"/>
  <c r="W216" i="16"/>
  <c r="W33" i="16"/>
  <c r="W144" i="16" s="1"/>
  <c r="AQ176" i="16"/>
  <c r="P176" i="16"/>
  <c r="Q217" i="16"/>
  <c r="AZ123" i="16"/>
  <c r="AZ124" i="16"/>
  <c r="AZ126" i="16"/>
  <c r="AZ128" i="16"/>
  <c r="AZ226" i="16"/>
  <c r="AZ127" i="16"/>
  <c r="AZ216" i="16"/>
  <c r="AZ229" i="16"/>
  <c r="AZ242" i="16"/>
  <c r="AZ33" i="16"/>
  <c r="AZ146" i="16" s="1"/>
  <c r="AG216" i="16"/>
  <c r="AG126" i="16"/>
  <c r="AG128" i="16"/>
  <c r="AG127" i="16"/>
  <c r="AG124" i="16"/>
  <c r="AG125" i="16"/>
  <c r="AG229" i="16"/>
  <c r="AG33" i="16"/>
  <c r="AG145" i="16" s="1"/>
  <c r="AG245" i="16"/>
  <c r="AG242" i="16"/>
  <c r="AG226" i="16"/>
  <c r="AH266" i="16"/>
  <c r="AG197" i="16"/>
  <c r="AG201" i="16"/>
  <c r="Q147" i="16"/>
  <c r="R267" i="16"/>
  <c r="Q227" i="16"/>
  <c r="Q67" i="16"/>
  <c r="Q51" i="17" s="1"/>
  <c r="Q68" i="16"/>
  <c r="Q52" i="17" s="1"/>
  <c r="Q219" i="16"/>
  <c r="Q149" i="16"/>
  <c r="Q150" i="16"/>
  <c r="AS231" i="16"/>
  <c r="AT271" i="16"/>
  <c r="AS232" i="16"/>
  <c r="R216" i="16"/>
  <c r="R33" i="16"/>
  <c r="R144" i="16" s="1"/>
  <c r="S266" i="16"/>
  <c r="R229" i="16"/>
  <c r="AH216" i="16"/>
  <c r="AH128" i="16"/>
  <c r="AH33" i="16"/>
  <c r="AH144" i="16" s="1"/>
  <c r="AH123" i="16"/>
  <c r="AH127" i="16"/>
  <c r="AH124" i="16"/>
  <c r="AX245" i="16"/>
  <c r="AX226" i="16"/>
  <c r="AX128" i="16"/>
  <c r="AX125" i="16"/>
  <c r="AX216" i="16"/>
  <c r="AQ125" i="16"/>
  <c r="AQ242" i="16"/>
  <c r="AQ245" i="16"/>
  <c r="AQ126" i="16"/>
  <c r="AQ124" i="16"/>
  <c r="AI232" i="16"/>
  <c r="AI231" i="16"/>
  <c r="AJ271" i="16"/>
  <c r="AB179" i="16"/>
  <c r="AB176" i="16"/>
  <c r="AC271" i="16"/>
  <c r="AB232" i="16"/>
  <c r="AB231" i="16"/>
  <c r="I280" i="16"/>
  <c r="H247" i="16"/>
  <c r="X231" i="16"/>
  <c r="U229" i="16"/>
  <c r="U197" i="16"/>
  <c r="U201" i="16" s="1"/>
  <c r="U226" i="16"/>
  <c r="V266" i="16"/>
  <c r="Q231" i="16"/>
  <c r="Q232" i="16"/>
  <c r="R271" i="16"/>
  <c r="K66" i="16"/>
  <c r="Y229" i="16"/>
  <c r="Y216" i="16"/>
  <c r="Y197" i="16"/>
  <c r="Y226" i="16"/>
  <c r="Z266" i="16"/>
  <c r="Y33" i="16"/>
  <c r="Y145" i="16" s="1"/>
  <c r="U231" i="16"/>
  <c r="U232" i="16"/>
  <c r="AK231" i="16"/>
  <c r="AL271" i="16"/>
  <c r="BA232" i="16"/>
  <c r="BA231" i="16"/>
  <c r="T266" i="16"/>
  <c r="S197" i="16"/>
  <c r="S201" i="16" s="1"/>
  <c r="S229" i="16"/>
  <c r="S216" i="16"/>
  <c r="S226" i="16"/>
  <c r="AQ231" i="16"/>
  <c r="AR271" i="16"/>
  <c r="AQ232" i="16"/>
  <c r="P149" i="16"/>
  <c r="P68" i="16"/>
  <c r="P52" i="17" s="1"/>
  <c r="P228" i="16"/>
  <c r="P67" i="16"/>
  <c r="P51" i="17" s="1"/>
  <c r="P220" i="16"/>
  <c r="P227" i="16"/>
  <c r="P150" i="16"/>
  <c r="P219" i="16"/>
  <c r="P10" i="16"/>
  <c r="P226" i="16" s="1"/>
  <c r="AG271" i="16"/>
  <c r="AF232" i="16"/>
  <c r="AF231" i="16"/>
  <c r="AJ245" i="16"/>
  <c r="AJ126" i="16"/>
  <c r="AJ216" i="16"/>
  <c r="AJ128" i="16"/>
  <c r="AJ242" i="16"/>
  <c r="AJ197" i="16"/>
  <c r="AJ201" i="16" s="1"/>
  <c r="AJ229" i="16"/>
  <c r="AJ127" i="16"/>
  <c r="AJ125" i="16"/>
  <c r="AK266" i="16"/>
  <c r="I247" i="16"/>
  <c r="I48" i="17"/>
  <c r="AP271" i="16"/>
  <c r="N259" i="16"/>
  <c r="AM229" i="16"/>
  <c r="AM127" i="16"/>
  <c r="AM197" i="16"/>
  <c r="AM201" i="16" s="1"/>
  <c r="AM128" i="16"/>
  <c r="AM125" i="16"/>
  <c r="AM123" i="16"/>
  <c r="AM245" i="16"/>
  <c r="AM242" i="16"/>
  <c r="AM216" i="16"/>
  <c r="AM226" i="16"/>
  <c r="AN266" i="16"/>
  <c r="AM124" i="16"/>
  <c r="AM126" i="16"/>
  <c r="AM33" i="16"/>
  <c r="AM145" i="16" s="1"/>
  <c r="AV176" i="16"/>
  <c r="M245" i="16"/>
  <c r="M197" i="16"/>
  <c r="M229" i="16"/>
  <c r="M33" i="16"/>
  <c r="M242" i="16"/>
  <c r="AW226" i="16"/>
  <c r="AW124" i="16"/>
  <c r="AW123" i="16"/>
  <c r="AW125" i="16"/>
  <c r="AW245" i="16"/>
  <c r="AW216" i="16"/>
  <c r="AX266" i="16"/>
  <c r="AW33" i="16"/>
  <c r="AW126" i="16"/>
  <c r="AW242" i="16"/>
  <c r="AW229" i="16"/>
  <c r="AW128" i="16"/>
  <c r="AW127" i="16"/>
  <c r="AW197" i="16"/>
  <c r="AA245" i="16"/>
  <c r="AA242" i="16"/>
  <c r="AA33" i="16"/>
  <c r="AA144" i="16" s="1"/>
  <c r="AA128" i="16"/>
  <c r="AA127" i="16"/>
  <c r="AA124" i="16"/>
  <c r="AA126" i="16"/>
  <c r="AA226" i="16"/>
  <c r="AA197" i="16"/>
  <c r="AB266" i="16"/>
  <c r="AA216" i="16"/>
  <c r="AA229" i="16"/>
  <c r="S232" i="16"/>
  <c r="S231" i="16"/>
  <c r="T271" i="16"/>
  <c r="AY232" i="16"/>
  <c r="AZ271" i="16"/>
  <c r="AY231" i="16"/>
  <c r="AF226" i="16"/>
  <c r="AF126" i="16"/>
  <c r="AF124" i="16"/>
  <c r="AF125" i="16"/>
  <c r="AF127" i="16"/>
  <c r="AF33" i="16"/>
  <c r="AF144" i="16" s="1"/>
  <c r="AF242" i="16"/>
  <c r="AF123" i="16"/>
  <c r="AF216" i="16"/>
  <c r="AF197" i="16"/>
  <c r="AF128" i="16"/>
  <c r="AF229" i="16"/>
  <c r="AG266" i="16"/>
  <c r="AF245" i="16"/>
  <c r="V197" i="16"/>
  <c r="V201" i="16" s="1"/>
  <c r="V226" i="16"/>
  <c r="V229" i="16"/>
  <c r="W266" i="16"/>
  <c r="AL242" i="16"/>
  <c r="AL128" i="16"/>
  <c r="AL125" i="16"/>
  <c r="AL197" i="16"/>
  <c r="AL201" i="16" s="1"/>
  <c r="AL127" i="16"/>
  <c r="AL229" i="16"/>
  <c r="AL245" i="16"/>
  <c r="AM266" i="16"/>
  <c r="AG179" i="16"/>
  <c r="AG176" i="16"/>
  <c r="AH231" i="16"/>
  <c r="AI271" i="16"/>
  <c r="AH232" i="16"/>
  <c r="AR176" i="16"/>
  <c r="AS271" i="16"/>
  <c r="AR232" i="16"/>
  <c r="AR231" i="16"/>
  <c r="I66" i="16"/>
  <c r="AC226" i="16"/>
  <c r="AC128" i="16"/>
  <c r="AC125" i="16"/>
  <c r="AC242" i="16"/>
  <c r="AC123" i="16"/>
  <c r="AC216" i="16"/>
  <c r="AC229" i="16"/>
  <c r="AC124" i="16"/>
  <c r="AC197" i="16"/>
  <c r="AC245" i="16"/>
  <c r="AC126" i="16"/>
  <c r="AC127" i="16"/>
  <c r="AD266" i="16"/>
  <c r="AT126" i="16"/>
  <c r="AT229" i="16"/>
  <c r="AT124" i="16"/>
  <c r="AU266" i="16"/>
  <c r="AT242" i="16"/>
  <c r="AT226" i="16"/>
  <c r="AT197" i="16"/>
  <c r="AT216" i="16"/>
  <c r="AT245" i="16"/>
  <c r="AT125" i="16"/>
  <c r="AT33" i="16"/>
  <c r="AT145" i="16" s="1"/>
  <c r="AT128" i="16"/>
  <c r="AT127" i="16"/>
  <c r="AT123" i="16"/>
  <c r="O259" i="16"/>
  <c r="AE232" i="16"/>
  <c r="AE231" i="16"/>
  <c r="AF271" i="16"/>
  <c r="AV271" i="16"/>
  <c r="AU231" i="16"/>
  <c r="AU232" i="16"/>
  <c r="AS176" i="16"/>
  <c r="AI146" i="16"/>
  <c r="AI145" i="16"/>
  <c r="N197" i="16"/>
  <c r="N201" i="16" s="1"/>
  <c r="AS145" i="16"/>
  <c r="AS146" i="16"/>
  <c r="BA145" i="16"/>
  <c r="AU144" i="16"/>
  <c r="AU145" i="16"/>
  <c r="AW146" i="16"/>
  <c r="AW144" i="16"/>
  <c r="AW145" i="16"/>
  <c r="AM144" i="16"/>
  <c r="AG144" i="16"/>
  <c r="AG146" i="16"/>
  <c r="AZ144" i="16"/>
  <c r="AD145" i="16"/>
  <c r="AD146" i="16"/>
  <c r="AE145" i="16"/>
  <c r="Y144" i="16"/>
  <c r="W145" i="16"/>
  <c r="AY145" i="16"/>
  <c r="P125" i="16"/>
  <c r="AH145" i="16"/>
  <c r="R145" i="16"/>
  <c r="A4" i="15"/>
  <c r="H218" i="16" l="1"/>
  <c r="H217" i="16"/>
  <c r="F68" i="16"/>
  <c r="F66" i="16" s="1"/>
  <c r="F228" i="16"/>
  <c r="F147" i="16"/>
  <c r="G267" i="16"/>
  <c r="F67" i="16"/>
  <c r="F51" i="17" s="1"/>
  <c r="F220" i="16"/>
  <c r="F60" i="16"/>
  <c r="AQ267" i="16"/>
  <c r="AP149" i="16"/>
  <c r="AP228" i="16"/>
  <c r="AP10" i="16"/>
  <c r="AP219" i="16"/>
  <c r="AP224" i="16"/>
  <c r="AP227" i="16"/>
  <c r="AP148" i="16"/>
  <c r="J227" i="16"/>
  <c r="J147" i="16"/>
  <c r="S270" i="16"/>
  <c r="R256" i="16"/>
  <c r="Y256" i="16"/>
  <c r="Y259" i="16" s="1"/>
  <c r="AR256" i="16"/>
  <c r="S256" i="16"/>
  <c r="AY256" i="16"/>
  <c r="AA256" i="16"/>
  <c r="AB256" i="16"/>
  <c r="AD256" i="16"/>
  <c r="AI256" i="16"/>
  <c r="Z256" i="16"/>
  <c r="T256" i="16"/>
  <c r="AP256" i="16"/>
  <c r="AT256" i="16"/>
  <c r="AJ256" i="16"/>
  <c r="AZ256" i="16"/>
  <c r="AH256" i="16"/>
  <c r="AF256" i="16"/>
  <c r="W256" i="16"/>
  <c r="AE256" i="16"/>
  <c r="V256" i="16"/>
  <c r="AG256" i="16"/>
  <c r="AO256" i="16"/>
  <c r="AL256" i="16"/>
  <c r="AC256" i="16"/>
  <c r="X256" i="16"/>
  <c r="AQ256" i="16"/>
  <c r="AK256" i="16"/>
  <c r="U256" i="16"/>
  <c r="AN256" i="16"/>
  <c r="AS256" i="16"/>
  <c r="AM256" i="16"/>
  <c r="AX256" i="16"/>
  <c r="AU270" i="16"/>
  <c r="AT153" i="16"/>
  <c r="J60" i="16"/>
  <c r="J220" i="16"/>
  <c r="J219" i="16"/>
  <c r="J231" i="16"/>
  <c r="AT251" i="16"/>
  <c r="AZ251" i="16"/>
  <c r="Z272" i="16"/>
  <c r="Z220" i="16"/>
  <c r="AR251" i="16"/>
  <c r="AW251" i="16"/>
  <c r="AV251" i="16"/>
  <c r="AX251" i="16"/>
  <c r="AU251" i="16"/>
  <c r="BA251" i="16"/>
  <c r="AL251" i="16"/>
  <c r="AS251" i="16"/>
  <c r="AQ251" i="16"/>
  <c r="AY251" i="16"/>
  <c r="AI274" i="16"/>
  <c r="AH163" i="16"/>
  <c r="AX164" i="16"/>
  <c r="AY274" i="16"/>
  <c r="AX156" i="16"/>
  <c r="R165" i="16"/>
  <c r="R156" i="16"/>
  <c r="S275" i="16"/>
  <c r="R198" i="16"/>
  <c r="R205" i="16"/>
  <c r="R275" i="16"/>
  <c r="AH198" i="16"/>
  <c r="AH205" i="16"/>
  <c r="AI275" i="16"/>
  <c r="G276" i="16"/>
  <c r="F208" i="16"/>
  <c r="F238" i="16"/>
  <c r="F239" i="16"/>
  <c r="F232" i="16"/>
  <c r="AK258" i="16"/>
  <c r="AL258" i="16"/>
  <c r="AZ258" i="16"/>
  <c r="AT258" i="16"/>
  <c r="AX258" i="16"/>
  <c r="AG258" i="16"/>
  <c r="V238" i="16"/>
  <c r="V166" i="16"/>
  <c r="AQ258" i="16"/>
  <c r="AE258" i="16"/>
  <c r="AF258" i="16"/>
  <c r="Z258" i="16"/>
  <c r="AU258" i="16"/>
  <c r="Y258" i="16"/>
  <c r="AV258" i="16"/>
  <c r="V208" i="16"/>
  <c r="V239" i="16"/>
  <c r="V21" i="16"/>
  <c r="V276" i="16"/>
  <c r="AS258" i="16"/>
  <c r="AO258" i="16"/>
  <c r="AM258" i="16"/>
  <c r="AP258" i="16"/>
  <c r="AA258" i="16"/>
  <c r="AW258" i="16"/>
  <c r="AI258" i="16"/>
  <c r="V167" i="16"/>
  <c r="V169" i="16"/>
  <c r="V258" i="16"/>
  <c r="AC258" i="16"/>
  <c r="AJ258" i="16"/>
  <c r="AB258" i="16"/>
  <c r="AN258" i="16"/>
  <c r="AR258" i="16"/>
  <c r="AD258" i="16"/>
  <c r="AY258" i="16"/>
  <c r="W276" i="16"/>
  <c r="V168" i="16"/>
  <c r="AL166" i="16"/>
  <c r="AL21" i="16"/>
  <c r="AL168" i="16"/>
  <c r="AL238" i="16"/>
  <c r="AM276" i="16"/>
  <c r="AL239" i="16"/>
  <c r="AL167" i="16"/>
  <c r="N211" i="16"/>
  <c r="N35" i="16"/>
  <c r="R35" i="16"/>
  <c r="R172" i="16"/>
  <c r="R199" i="16"/>
  <c r="AH172" i="16"/>
  <c r="AH199" i="16"/>
  <c r="AX172" i="16"/>
  <c r="AX199" i="16"/>
  <c r="AX201" i="16" s="1"/>
  <c r="AX206" i="16" s="1"/>
  <c r="AX210" i="16" s="1"/>
  <c r="AX212" i="16" s="1"/>
  <c r="AH200" i="16"/>
  <c r="AH174" i="16"/>
  <c r="AZ253" i="16"/>
  <c r="AY253" i="16"/>
  <c r="AF253" i="16"/>
  <c r="AO253" i="16"/>
  <c r="AK253" i="16"/>
  <c r="N240" i="16"/>
  <c r="AG253" i="16"/>
  <c r="N253" i="16"/>
  <c r="AJ253" i="16"/>
  <c r="N244" i="16"/>
  <c r="T253" i="16"/>
  <c r="AX253" i="16"/>
  <c r="AM253" i="16"/>
  <c r="AW253" i="16"/>
  <c r="AA253" i="16"/>
  <c r="AE253" i="16"/>
  <c r="Y253" i="16"/>
  <c r="N178" i="16"/>
  <c r="AQ253" i="16"/>
  <c r="O253" i="16"/>
  <c r="U253" i="16"/>
  <c r="AT253" i="16"/>
  <c r="N46" i="16"/>
  <c r="AS253" i="16"/>
  <c r="AN253" i="16"/>
  <c r="AD253" i="16"/>
  <c r="AB253" i="16"/>
  <c r="AR253" i="16"/>
  <c r="N202" i="16"/>
  <c r="AI253" i="16"/>
  <c r="AL253" i="16"/>
  <c r="P253" i="16"/>
  <c r="R253" i="16"/>
  <c r="X253" i="16"/>
  <c r="AP253" i="16"/>
  <c r="AV253" i="16"/>
  <c r="AH253" i="16"/>
  <c r="W253" i="16"/>
  <c r="S253" i="16"/>
  <c r="AC253" i="16"/>
  <c r="Q253" i="16"/>
  <c r="N177" i="16"/>
  <c r="Z253" i="16"/>
  <c r="V253" i="16"/>
  <c r="AD178" i="16"/>
  <c r="AD240" i="16"/>
  <c r="AD202" i="16"/>
  <c r="AD244" i="16"/>
  <c r="AD177" i="16"/>
  <c r="AD220" i="16"/>
  <c r="AT178" i="16"/>
  <c r="AT202" i="16"/>
  <c r="AT177" i="16"/>
  <c r="AT176" i="16"/>
  <c r="AT220" i="16"/>
  <c r="AT244" i="16"/>
  <c r="AT240" i="16"/>
  <c r="AL179" i="16"/>
  <c r="AL176" i="16"/>
  <c r="AP179" i="16"/>
  <c r="AP176" i="16"/>
  <c r="G278" i="16"/>
  <c r="G138" i="16"/>
  <c r="G237" i="16"/>
  <c r="AU278" i="16"/>
  <c r="AU237" i="16"/>
  <c r="AT237" i="16"/>
  <c r="AY139" i="16"/>
  <c r="AY237" i="16"/>
  <c r="AY283" i="16"/>
  <c r="AX183" i="16"/>
  <c r="AD184" i="16"/>
  <c r="AD221" i="16"/>
  <c r="AD183" i="16"/>
  <c r="AL221" i="16"/>
  <c r="AL184" i="16"/>
  <c r="AM284" i="16"/>
  <c r="AL183" i="16"/>
  <c r="V185" i="16"/>
  <c r="V155" i="16"/>
  <c r="W285" i="16"/>
  <c r="AH185" i="16"/>
  <c r="AI285" i="16"/>
  <c r="O286" i="16"/>
  <c r="N186" i="16"/>
  <c r="N185" i="16"/>
  <c r="N222" i="16"/>
  <c r="AL185" i="16"/>
  <c r="AL186" i="16"/>
  <c r="AL222" i="16"/>
  <c r="AP186" i="16"/>
  <c r="AP222" i="16"/>
  <c r="AQ286" i="16"/>
  <c r="S287" i="16"/>
  <c r="R187" i="16"/>
  <c r="R157" i="16"/>
  <c r="AT157" i="16"/>
  <c r="AU287" i="16"/>
  <c r="AA288" i="16"/>
  <c r="Z221" i="16"/>
  <c r="Z188" i="16"/>
  <c r="AB201" i="16"/>
  <c r="AV144" i="16"/>
  <c r="P197" i="16"/>
  <c r="P201" i="16" s="1"/>
  <c r="AV146" i="16"/>
  <c r="AH146" i="16"/>
  <c r="AF145" i="16"/>
  <c r="W146" i="16"/>
  <c r="Z146" i="16"/>
  <c r="AM146" i="16"/>
  <c r="AQ197" i="16"/>
  <c r="AQ201" i="16" s="1"/>
  <c r="AQ127" i="16"/>
  <c r="AQ216" i="16"/>
  <c r="AX33" i="16"/>
  <c r="AX144" i="16" s="1"/>
  <c r="AX126" i="16"/>
  <c r="AX229" i="16"/>
  <c r="AH226" i="16"/>
  <c r="AH126" i="16"/>
  <c r="Y146" i="16"/>
  <c r="P33" i="16"/>
  <c r="P146" i="16" s="1"/>
  <c r="Z144" i="16"/>
  <c r="N73" i="16"/>
  <c r="T146" i="16"/>
  <c r="AR266" i="16"/>
  <c r="AQ33" i="16"/>
  <c r="AQ226" i="16"/>
  <c r="AX124" i="16"/>
  <c r="AX242" i="16"/>
  <c r="AX127" i="16"/>
  <c r="AH197" i="16"/>
  <c r="AH201" i="16" s="1"/>
  <c r="AH125" i="16"/>
  <c r="Z154" i="12"/>
  <c r="AP152" i="12"/>
  <c r="AP156" i="12"/>
  <c r="AP24" i="16"/>
  <c r="AP156" i="16" s="1"/>
  <c r="AX170" i="16"/>
  <c r="F200" i="16"/>
  <c r="AL35" i="16"/>
  <c r="AT137" i="12"/>
  <c r="AD158" i="12"/>
  <c r="AL143" i="12"/>
  <c r="AL102" i="16"/>
  <c r="AL143" i="16" s="1"/>
  <c r="W251" i="16"/>
  <c r="Y251" i="16"/>
  <c r="AD251" i="16"/>
  <c r="X251" i="16"/>
  <c r="AG251" i="16"/>
  <c r="P258" i="16"/>
  <c r="J240" i="16"/>
  <c r="Z20" i="16"/>
  <c r="P9" i="12"/>
  <c r="O215" i="12"/>
  <c r="R267" i="12"/>
  <c r="AB251" i="16"/>
  <c r="AN251" i="16"/>
  <c r="AC251" i="16"/>
  <c r="AJ251" i="16"/>
  <c r="AA251" i="16"/>
  <c r="S258" i="16"/>
  <c r="R258" i="16"/>
  <c r="AH258" i="16"/>
  <c r="T258" i="16"/>
  <c r="U255" i="12"/>
  <c r="J267" i="12"/>
  <c r="Z251" i="16"/>
  <c r="AF251" i="16"/>
  <c r="AE251" i="16"/>
  <c r="AI251" i="16"/>
  <c r="AK251" i="16"/>
  <c r="X258" i="16"/>
  <c r="W258" i="16"/>
  <c r="T155" i="16"/>
  <c r="N283" i="16"/>
  <c r="N288" i="16"/>
  <c r="N287" i="16"/>
  <c r="J285" i="16"/>
  <c r="J283" i="16"/>
  <c r="W268" i="16"/>
  <c r="O265" i="16"/>
  <c r="AM141" i="16"/>
  <c r="J287" i="16"/>
  <c r="AI155" i="16"/>
  <c r="H273" i="16"/>
  <c r="L9" i="12"/>
  <c r="L196" i="12" s="1"/>
  <c r="AZ160" i="16"/>
  <c r="J289" i="16"/>
  <c r="G147" i="16"/>
  <c r="P268" i="16"/>
  <c r="H29" i="8"/>
  <c r="H95" i="8"/>
  <c r="H72" i="8"/>
  <c r="H23" i="8"/>
  <c r="H111" i="8"/>
  <c r="H78" i="8"/>
  <c r="H56" i="8"/>
  <c r="H35" i="8"/>
  <c r="H84" i="8"/>
  <c r="H57" i="8"/>
  <c r="H70" i="8"/>
  <c r="H94" i="8"/>
  <c r="H58" i="8"/>
  <c r="H34" i="8"/>
  <c r="H115" i="8"/>
  <c r="H79" i="8"/>
  <c r="H38" i="8"/>
  <c r="H27" i="8"/>
  <c r="H30" i="8"/>
  <c r="H64" i="8"/>
  <c r="H88" i="8"/>
  <c r="H96" i="8"/>
  <c r="H110" i="8"/>
  <c r="H10" i="8"/>
  <c r="H19" i="8"/>
  <c r="H22" i="8"/>
  <c r="H62" i="8"/>
  <c r="H25" i="8"/>
  <c r="H80" i="8"/>
  <c r="H21" i="8"/>
  <c r="H104" i="8"/>
  <c r="H59" i="8"/>
  <c r="H116" i="8"/>
  <c r="H61" i="8"/>
  <c r="I9" i="8"/>
  <c r="H91" i="8"/>
  <c r="H46" i="8"/>
  <c r="H11" i="8"/>
  <c r="H75" i="8"/>
  <c r="H33" i="8"/>
  <c r="H73" i="8"/>
  <c r="H45" i="8"/>
  <c r="H44" i="8"/>
  <c r="H63" i="8"/>
  <c r="H32" i="8"/>
  <c r="H16" i="8"/>
  <c r="H81" i="8"/>
  <c r="H114" i="8"/>
  <c r="H39" i="8"/>
  <c r="H106" i="8"/>
  <c r="H52" i="8"/>
  <c r="H103" i="8"/>
  <c r="H50" i="8"/>
  <c r="H77" i="8"/>
  <c r="H41" i="8"/>
  <c r="H90" i="8"/>
  <c r="H28" i="8"/>
  <c r="H100" i="8"/>
  <c r="H65" i="8"/>
  <c r="H87" i="8"/>
  <c r="H47" i="8"/>
  <c r="H14" i="8"/>
  <c r="N7" i="16"/>
  <c r="K216" i="12"/>
  <c r="O137" i="12"/>
  <c r="O59" i="17" s="1"/>
  <c r="O181" i="12"/>
  <c r="G198" i="12"/>
  <c r="G201" i="12" s="1"/>
  <c r="G26" i="8"/>
  <c r="G28" i="8"/>
  <c r="G11" i="8"/>
  <c r="G42" i="8"/>
  <c r="G52" i="8"/>
  <c r="G15" i="8"/>
  <c r="G53" i="8"/>
  <c r="G50" i="8"/>
  <c r="G45" i="8"/>
  <c r="G51" i="8"/>
  <c r="G39" i="8"/>
  <c r="G68" i="8"/>
  <c r="G49" i="8"/>
  <c r="G79" i="8"/>
  <c r="G54" i="8"/>
  <c r="G55" i="8"/>
  <c r="G70" i="8"/>
  <c r="G89" i="8"/>
  <c r="G82" i="8"/>
  <c r="G81" i="8"/>
  <c r="G102" i="8"/>
  <c r="G111" i="8"/>
  <c r="G95" i="8"/>
  <c r="G90" i="8"/>
  <c r="G100" i="8"/>
  <c r="G109" i="8"/>
  <c r="G113" i="8"/>
  <c r="P137" i="12"/>
  <c r="P59" i="17" s="1"/>
  <c r="X218" i="12"/>
  <c r="AZ156" i="12"/>
  <c r="T172" i="12"/>
  <c r="P173" i="12"/>
  <c r="AZ179" i="12"/>
  <c r="AN179" i="12"/>
  <c r="P124" i="12"/>
  <c r="P75" i="12"/>
  <c r="AV184" i="12"/>
  <c r="T139" i="12"/>
  <c r="AO137" i="12"/>
  <c r="AO59" i="17" s="1"/>
  <c r="U170" i="12"/>
  <c r="AS218" i="12"/>
  <c r="U76" i="12"/>
  <c r="Y186" i="12"/>
  <c r="AK221" i="12"/>
  <c r="Q192" i="12"/>
  <c r="AB216" i="16"/>
  <c r="I288" i="16"/>
  <c r="N270" i="16"/>
  <c r="I147" i="16"/>
  <c r="Q172" i="16"/>
  <c r="AO201" i="16"/>
  <c r="AO33" i="16"/>
  <c r="H200" i="16"/>
  <c r="P171" i="16"/>
  <c r="L249" i="12"/>
  <c r="L265" i="12"/>
  <c r="O265" i="12"/>
  <c r="P174" i="16"/>
  <c r="P190" i="16"/>
  <c r="K283" i="16"/>
  <c r="K269" i="16"/>
  <c r="Y273" i="16"/>
  <c r="I270" i="16"/>
  <c r="O196" i="12"/>
  <c r="O143" i="16"/>
  <c r="K288" i="16"/>
  <c r="N273" i="16"/>
  <c r="V268" i="16"/>
  <c r="L215" i="12"/>
  <c r="K9" i="12"/>
  <c r="M196" i="12"/>
  <c r="AX175" i="16"/>
  <c r="N190" i="16"/>
  <c r="AS193" i="12"/>
  <c r="AR192" i="12"/>
  <c r="AF192" i="12"/>
  <c r="AJ192" i="12"/>
  <c r="U192" i="12"/>
  <c r="AQ192" i="12"/>
  <c r="O192" i="12"/>
  <c r="AS192" i="12"/>
  <c r="AN192" i="12"/>
  <c r="AY192" i="12"/>
  <c r="AG192" i="12"/>
  <c r="Y192" i="12"/>
  <c r="AO192" i="12"/>
  <c r="S192" i="12"/>
  <c r="AM192" i="12"/>
  <c r="AX192" i="12"/>
  <c r="AW192" i="12"/>
  <c r="V192" i="12"/>
  <c r="X192" i="12"/>
  <c r="W192" i="12"/>
  <c r="AH192" i="12"/>
  <c r="AP192" i="12"/>
  <c r="AE192" i="12"/>
  <c r="Z192" i="12"/>
  <c r="AV192" i="12"/>
  <c r="AB192" i="12"/>
  <c r="AT192" i="12"/>
  <c r="AA192" i="12"/>
  <c r="N192" i="12"/>
  <c r="AK192" i="12"/>
  <c r="J68" i="16"/>
  <c r="J66" i="16" s="1"/>
  <c r="T192" i="12"/>
  <c r="O143" i="12"/>
  <c r="O57" i="16"/>
  <c r="BA206" i="16"/>
  <c r="BA210" i="16" s="1"/>
  <c r="BA212" i="16" s="1"/>
  <c r="AZ206" i="16"/>
  <c r="AZ210" i="16" s="1"/>
  <c r="AZ212" i="16" s="1"/>
  <c r="AY206" i="16"/>
  <c r="AU206" i="16"/>
  <c r="AS206" i="16"/>
  <c r="AO206" i="16"/>
  <c r="AM206" i="16"/>
  <c r="AL203" i="16"/>
  <c r="AJ206" i="16"/>
  <c r="AJ210" i="16" s="1"/>
  <c r="AJ212" i="16" s="1"/>
  <c r="AH206" i="16"/>
  <c r="AG206" i="16"/>
  <c r="AG210" i="16" s="1"/>
  <c r="AG212" i="16" s="1"/>
  <c r="AE206" i="16"/>
  <c r="AD206" i="16"/>
  <c r="AB206" i="16"/>
  <c r="Z206" i="16"/>
  <c r="X206" i="16"/>
  <c r="V206" i="16"/>
  <c r="V210" i="16" s="1"/>
  <c r="V212" i="16" s="1"/>
  <c r="U206" i="16"/>
  <c r="U210" i="16" s="1"/>
  <c r="U212" i="16" s="1"/>
  <c r="T206" i="16"/>
  <c r="T210" i="16" s="1"/>
  <c r="T212" i="16" s="1"/>
  <c r="S206" i="16"/>
  <c r="P206" i="16"/>
  <c r="P210" i="16" s="1"/>
  <c r="P212" i="16" s="1"/>
  <c r="N206" i="16"/>
  <c r="G208" i="12"/>
  <c r="G204" i="16"/>
  <c r="G204" i="12"/>
  <c r="G206" i="12" s="1"/>
  <c r="G66" i="16"/>
  <c r="G198" i="16"/>
  <c r="G208" i="16"/>
  <c r="AL142" i="16"/>
  <c r="AL203" i="12"/>
  <c r="AL206" i="12" s="1"/>
  <c r="AL208" i="12"/>
  <c r="AL169" i="12"/>
  <c r="AL206" i="16"/>
  <c r="AL210" i="16" s="1"/>
  <c r="AL212" i="16" s="1"/>
  <c r="AL208" i="16"/>
  <c r="AL141" i="16"/>
  <c r="AA141" i="16"/>
  <c r="AQ254" i="16"/>
  <c r="AH141" i="16"/>
  <c r="AK254" i="16"/>
  <c r="AN254" i="16"/>
  <c r="AV254" i="16"/>
  <c r="AU254" i="16"/>
  <c r="BA254" i="16"/>
  <c r="AH140" i="16"/>
  <c r="AO254" i="16"/>
  <c r="AP254" i="16"/>
  <c r="AZ254" i="16"/>
  <c r="AS254" i="16"/>
  <c r="S255" i="12"/>
  <c r="W255" i="12"/>
  <c r="BA255" i="12"/>
  <c r="AM255" i="12"/>
  <c r="AX255" i="12"/>
  <c r="AU139" i="12"/>
  <c r="AU99" i="16"/>
  <c r="T140" i="12"/>
  <c r="T99" i="16"/>
  <c r="Y127" i="12"/>
  <c r="S159" i="16"/>
  <c r="AJ91" i="16"/>
  <c r="AJ191" i="16" s="1"/>
  <c r="AD92" i="16"/>
  <c r="AD191" i="12"/>
  <c r="N190" i="12"/>
  <c r="AT222" i="16"/>
  <c r="AK222" i="12"/>
  <c r="AK88" i="16"/>
  <c r="K290" i="16"/>
  <c r="I222" i="12"/>
  <c r="J290" i="12"/>
  <c r="I88" i="16"/>
  <c r="I290" i="16" s="1"/>
  <c r="K289" i="16"/>
  <c r="I289" i="16"/>
  <c r="AL288" i="12"/>
  <c r="AK187" i="12"/>
  <c r="AK85" i="16"/>
  <c r="H288" i="16"/>
  <c r="H52" i="17"/>
  <c r="G288" i="16"/>
  <c r="AS187" i="16"/>
  <c r="AS157" i="16"/>
  <c r="AT287" i="16"/>
  <c r="AS157" i="12"/>
  <c r="AS187" i="12"/>
  <c r="AT287" i="12"/>
  <c r="AE287" i="16"/>
  <c r="AD157" i="16"/>
  <c r="K287" i="16"/>
  <c r="I287" i="16"/>
  <c r="H287" i="16"/>
  <c r="G287" i="16"/>
  <c r="Y83" i="16"/>
  <c r="Y186" i="16" s="1"/>
  <c r="AT185" i="16"/>
  <c r="AU285" i="16"/>
  <c r="K285" i="16"/>
  <c r="AV80" i="16"/>
  <c r="AV184" i="16" s="1"/>
  <c r="V149" i="16"/>
  <c r="W283" i="16"/>
  <c r="V183" i="16"/>
  <c r="V183" i="12"/>
  <c r="V149" i="12"/>
  <c r="W283" i="12"/>
  <c r="I283" i="16"/>
  <c r="H283" i="16"/>
  <c r="G283" i="16"/>
  <c r="U75" i="12"/>
  <c r="V127" i="12"/>
  <c r="AC72" i="12"/>
  <c r="AC68" i="17" s="1"/>
  <c r="X128" i="12"/>
  <c r="P223" i="12"/>
  <c r="P123" i="12"/>
  <c r="P127" i="12" s="1"/>
  <c r="P62" i="17"/>
  <c r="P72" i="12"/>
  <c r="P68" i="17" s="1"/>
  <c r="N127" i="12"/>
  <c r="AW136" i="12"/>
  <c r="AJ252" i="12"/>
  <c r="AJ255" i="12" s="1"/>
  <c r="AC280" i="12"/>
  <c r="AT255" i="12"/>
  <c r="AQ252" i="12"/>
  <c r="AQ255" i="12" s="1"/>
  <c r="AK252" i="12"/>
  <c r="AI252" i="12"/>
  <c r="AI255" i="12" s="1"/>
  <c r="AW252" i="12"/>
  <c r="AW255" i="12" s="1"/>
  <c r="AS252" i="12"/>
  <c r="AS255" i="12" s="1"/>
  <c r="AN252" i="12"/>
  <c r="AN255" i="12" s="1"/>
  <c r="AR252" i="12"/>
  <c r="AV252" i="12"/>
  <c r="AV255" i="12" s="1"/>
  <c r="AB60" i="17"/>
  <c r="AD252" i="12"/>
  <c r="AD255" i="12" s="1"/>
  <c r="AB252" i="12"/>
  <c r="AB255" i="12" s="1"/>
  <c r="AY252" i="12"/>
  <c r="AY255" i="12" s="1"/>
  <c r="AO252" i="12"/>
  <c r="AO255" i="12" s="1"/>
  <c r="AP252" i="12"/>
  <c r="AP255" i="12" s="1"/>
  <c r="AU252" i="12"/>
  <c r="AU255" i="12" s="1"/>
  <c r="AH252" i="12"/>
  <c r="AH255" i="12" s="1"/>
  <c r="AE255" i="12"/>
  <c r="AK255" i="12"/>
  <c r="AR255" i="12"/>
  <c r="AG252" i="12"/>
  <c r="AG255" i="12" s="1"/>
  <c r="AL252" i="12"/>
  <c r="AL255" i="12" s="1"/>
  <c r="AC252" i="12"/>
  <c r="AC255" i="12" s="1"/>
  <c r="AZ252" i="12"/>
  <c r="AZ255" i="12" s="1"/>
  <c r="O236" i="16"/>
  <c r="N277" i="16"/>
  <c r="P57" i="16"/>
  <c r="P138" i="16" s="1"/>
  <c r="N242" i="16"/>
  <c r="H236" i="16"/>
  <c r="AY210" i="16"/>
  <c r="AY212" i="16" s="1"/>
  <c r="AU210" i="16"/>
  <c r="AU212" i="16" s="1"/>
  <c r="AS210" i="16"/>
  <c r="AS212" i="16" s="1"/>
  <c r="AO210" i="16"/>
  <c r="AO212" i="16" s="1"/>
  <c r="AM210" i="16"/>
  <c r="AM212" i="16" s="1"/>
  <c r="AH210" i="16"/>
  <c r="AH212" i="16" s="1"/>
  <c r="AE210" i="16"/>
  <c r="AE212" i="16" s="1"/>
  <c r="AD210" i="16"/>
  <c r="AD212" i="16" s="1"/>
  <c r="AB210" i="16"/>
  <c r="AB212" i="16" s="1"/>
  <c r="Z210" i="16"/>
  <c r="Z212" i="16" s="1"/>
  <c r="X210" i="16"/>
  <c r="X212" i="16" s="1"/>
  <c r="X209" i="12"/>
  <c r="X210" i="12" s="1"/>
  <c r="X212" i="12" s="1"/>
  <c r="S210" i="16"/>
  <c r="S212" i="16" s="1"/>
  <c r="N210" i="16"/>
  <c r="N212" i="16" s="1"/>
  <c r="M217" i="16"/>
  <c r="BA176" i="16"/>
  <c r="AY48" i="16"/>
  <c r="AY179" i="16" s="1"/>
  <c r="AX48" i="16"/>
  <c r="AX176" i="16" s="1"/>
  <c r="AW48" i="16"/>
  <c r="AU48" i="16"/>
  <c r="AU179" i="16" s="1"/>
  <c r="R176" i="16"/>
  <c r="N176" i="16"/>
  <c r="AZ50" i="16"/>
  <c r="AZ48" i="16" s="1"/>
  <c r="AY176" i="16"/>
  <c r="AY179" i="12"/>
  <c r="AX179" i="12"/>
  <c r="AW179" i="16"/>
  <c r="AW176" i="16"/>
  <c r="Y176" i="16"/>
  <c r="BA253" i="16"/>
  <c r="AU253" i="16"/>
  <c r="R177" i="16"/>
  <c r="AS217" i="12"/>
  <c r="AX175" i="12"/>
  <c r="AX145" i="12"/>
  <c r="AR175" i="16"/>
  <c r="AR145" i="16"/>
  <c r="AR175" i="12"/>
  <c r="AD175" i="16"/>
  <c r="AR201" i="16"/>
  <c r="AR206" i="16" s="1"/>
  <c r="AR210" i="16" s="1"/>
  <c r="AR212" i="16" s="1"/>
  <c r="AF200" i="16"/>
  <c r="AF201" i="16" s="1"/>
  <c r="AF206" i="16" s="1"/>
  <c r="AF210" i="16" s="1"/>
  <c r="AF212" i="16" s="1"/>
  <c r="AA201" i="16"/>
  <c r="AA206" i="16" s="1"/>
  <c r="AA210" i="16" s="1"/>
  <c r="AA212" i="16" s="1"/>
  <c r="Y201" i="16"/>
  <c r="Y206" i="16" s="1"/>
  <c r="Y210" i="16" s="1"/>
  <c r="Y212" i="16" s="1"/>
  <c r="W200" i="16"/>
  <c r="W201" i="16" s="1"/>
  <c r="W206" i="16" s="1"/>
  <c r="W210" i="16" s="1"/>
  <c r="W212" i="16" s="1"/>
  <c r="O200" i="16"/>
  <c r="M200" i="16"/>
  <c r="M201" i="16" s="1"/>
  <c r="M206" i="16" s="1"/>
  <c r="M210" i="16" s="1"/>
  <c r="M212" i="16" s="1"/>
  <c r="L200" i="16"/>
  <c r="L201" i="16" s="1"/>
  <c r="L206" i="16" s="1"/>
  <c r="L210" i="16" s="1"/>
  <c r="L212" i="16" s="1"/>
  <c r="J200" i="16"/>
  <c r="J201" i="16" s="1"/>
  <c r="J206" i="16" s="1"/>
  <c r="J210" i="16" s="1"/>
  <c r="J212" i="16" s="1"/>
  <c r="I200" i="16"/>
  <c r="I201" i="16" s="1"/>
  <c r="I206" i="16" s="1"/>
  <c r="I210" i="16" s="1"/>
  <c r="I212" i="16" s="1"/>
  <c r="G200" i="16"/>
  <c r="H201" i="16"/>
  <c r="H206" i="16" s="1"/>
  <c r="H210" i="16" s="1"/>
  <c r="H212" i="16" s="1"/>
  <c r="F201" i="16"/>
  <c r="F206" i="16" s="1"/>
  <c r="F210" i="16" s="1"/>
  <c r="F212" i="16" s="1"/>
  <c r="AS173" i="16"/>
  <c r="Z173" i="16"/>
  <c r="T145" i="16"/>
  <c r="P145" i="12"/>
  <c r="P41" i="16"/>
  <c r="P173" i="16" s="1"/>
  <c r="AN35" i="16"/>
  <c r="N137" i="16"/>
  <c r="N47" i="17" s="1"/>
  <c r="K199" i="16"/>
  <c r="K201" i="16" s="1"/>
  <c r="K206" i="16" s="1"/>
  <c r="K210" i="16" s="1"/>
  <c r="K212" i="16" s="1"/>
  <c r="AP211" i="12"/>
  <c r="AP212" i="12" s="1"/>
  <c r="AP36" i="16"/>
  <c r="Y171" i="16"/>
  <c r="O138" i="16"/>
  <c r="R146" i="12"/>
  <c r="R146" i="16"/>
  <c r="R177" i="12"/>
  <c r="AQ170" i="16"/>
  <c r="AK170" i="16"/>
  <c r="BA144" i="16"/>
  <c r="AX146" i="16"/>
  <c r="AV216" i="16"/>
  <c r="AR144" i="16"/>
  <c r="BA258" i="16"/>
  <c r="AC33" i="16"/>
  <c r="X232" i="16"/>
  <c r="X271" i="16"/>
  <c r="S33" i="16"/>
  <c r="S145" i="16" s="1"/>
  <c r="AI259" i="12"/>
  <c r="AJ259" i="12"/>
  <c r="AF259" i="12"/>
  <c r="AL259" i="12"/>
  <c r="M216" i="16"/>
  <c r="AL165" i="16"/>
  <c r="AL165" i="12"/>
  <c r="AM165" i="16"/>
  <c r="AW201" i="16"/>
  <c r="AW206" i="16" s="1"/>
  <c r="AW210" i="16" s="1"/>
  <c r="AW212" i="16" s="1"/>
  <c r="AU156" i="16"/>
  <c r="AT201" i="16"/>
  <c r="AT206" i="16" s="1"/>
  <c r="AT210" i="16" s="1"/>
  <c r="AT212" i="16" s="1"/>
  <c r="AQ206" i="16"/>
  <c r="AQ210" i="16" s="1"/>
  <c r="AQ212" i="16" s="1"/>
  <c r="AK201" i="16"/>
  <c r="AK206" i="16" s="1"/>
  <c r="AK210" i="16" s="1"/>
  <c r="AK212" i="16" s="1"/>
  <c r="AC201" i="16"/>
  <c r="AC206" i="16" s="1"/>
  <c r="AC210" i="16" s="1"/>
  <c r="AC212" i="16" s="1"/>
  <c r="AP163" i="16"/>
  <c r="S128" i="12"/>
  <c r="R128" i="12"/>
  <c r="Q128" i="12"/>
  <c r="AQ274" i="16"/>
  <c r="AP163" i="12"/>
  <c r="AP164" i="16"/>
  <c r="AP164" i="12"/>
  <c r="Z274" i="12"/>
  <c r="Y156" i="12"/>
  <c r="Y24" i="16"/>
  <c r="AZ23" i="16"/>
  <c r="AA273" i="16"/>
  <c r="W273" i="16"/>
  <c r="S273" i="16"/>
  <c r="Q273" i="16"/>
  <c r="O273" i="16"/>
  <c r="K273" i="16"/>
  <c r="J273" i="16"/>
  <c r="I273" i="16"/>
  <c r="G273" i="16"/>
  <c r="AV201" i="16"/>
  <c r="AV206" i="16" s="1"/>
  <c r="AV210" i="16" s="1"/>
  <c r="AV212" i="16" s="1"/>
  <c r="AO144" i="16"/>
  <c r="AO146" i="16"/>
  <c r="AO145" i="16"/>
  <c r="AO232" i="16"/>
  <c r="AO231" i="16"/>
  <c r="AO216" i="16"/>
  <c r="AP251" i="16"/>
  <c r="AM251" i="16"/>
  <c r="AO251" i="16"/>
  <c r="AI201" i="16"/>
  <c r="AI206" i="16" s="1"/>
  <c r="AI210" i="16" s="1"/>
  <c r="AI212" i="16" s="1"/>
  <c r="AF146" i="16"/>
  <c r="AE146" i="16"/>
  <c r="AA145" i="16"/>
  <c r="X33" i="16"/>
  <c r="X144" i="16" s="1"/>
  <c r="M52" i="17"/>
  <c r="J246" i="16"/>
  <c r="H48" i="17"/>
  <c r="AP271" i="12"/>
  <c r="AO218" i="12"/>
  <c r="AO231" i="12"/>
  <c r="Y271" i="12"/>
  <c r="X216" i="12"/>
  <c r="X232" i="12"/>
  <c r="X137" i="12"/>
  <c r="X59" i="17" s="1"/>
  <c r="X231" i="12"/>
  <c r="W137" i="12"/>
  <c r="W59" i="17" s="1"/>
  <c r="X271" i="12"/>
  <c r="W218" i="12"/>
  <c r="U137" i="12"/>
  <c r="U59" i="17" s="1"/>
  <c r="V271" i="12"/>
  <c r="U216" i="12"/>
  <c r="U232" i="12"/>
  <c r="U218" i="12"/>
  <c r="T271" i="12"/>
  <c r="S231" i="12"/>
  <c r="S218" i="12"/>
  <c r="S216" i="12"/>
  <c r="R232" i="12"/>
  <c r="R218" i="12"/>
  <c r="R231" i="12"/>
  <c r="S271" i="12"/>
  <c r="R216" i="12"/>
  <c r="P232" i="12"/>
  <c r="Q271" i="12"/>
  <c r="P271" i="12"/>
  <c r="O232" i="12"/>
  <c r="O216" i="12"/>
  <c r="O271" i="12"/>
  <c r="L33" i="16"/>
  <c r="L216" i="16"/>
  <c r="L232" i="16"/>
  <c r="L231" i="16"/>
  <c r="L218" i="16"/>
  <c r="K232" i="12"/>
  <c r="K271" i="12"/>
  <c r="L271" i="12"/>
  <c r="K21" i="16"/>
  <c r="K231" i="12"/>
  <c r="AV152" i="16"/>
  <c r="AV207" i="16"/>
  <c r="AV154" i="16"/>
  <c r="AV154" i="12"/>
  <c r="AV207" i="12"/>
  <c r="AV152" i="12"/>
  <c r="AU152" i="16"/>
  <c r="AT207" i="16"/>
  <c r="AT154" i="16"/>
  <c r="AT152" i="16"/>
  <c r="AT154" i="12"/>
  <c r="AT207" i="12"/>
  <c r="AT152" i="12"/>
  <c r="AS207" i="16"/>
  <c r="AS152" i="16"/>
  <c r="AS154" i="16"/>
  <c r="AZ257" i="12"/>
  <c r="AZ259" i="12" s="1"/>
  <c r="AQ207" i="12"/>
  <c r="AQ20" i="16"/>
  <c r="AQ152" i="12"/>
  <c r="AP154" i="12"/>
  <c r="AP207" i="12"/>
  <c r="AV257" i="12"/>
  <c r="AV259" i="12" s="1"/>
  <c r="AP20" i="16"/>
  <c r="AO154" i="16"/>
  <c r="AO257" i="16"/>
  <c r="AO259" i="16" s="1"/>
  <c r="AO207" i="16"/>
  <c r="AO152" i="16"/>
  <c r="AM257" i="16"/>
  <c r="AI257" i="16"/>
  <c r="AI259" i="16" s="1"/>
  <c r="Z257" i="16"/>
  <c r="AF257" i="16"/>
  <c r="AF259" i="16" s="1"/>
  <c r="AU257" i="12"/>
  <c r="AU259" i="12" s="1"/>
  <c r="AQ257" i="12"/>
  <c r="AQ259" i="12" s="1"/>
  <c r="AA257" i="12"/>
  <c r="AA259" i="12" s="1"/>
  <c r="AD257" i="12"/>
  <c r="AD259" i="12" s="1"/>
  <c r="AY257" i="12"/>
  <c r="AY259" i="12" s="1"/>
  <c r="AC257" i="12"/>
  <c r="AC259" i="12" s="1"/>
  <c r="AH257" i="12"/>
  <c r="AH259" i="12" s="1"/>
  <c r="AT257" i="12"/>
  <c r="AT259" i="12" s="1"/>
  <c r="Z207" i="16"/>
  <c r="Z152" i="16"/>
  <c r="AD257" i="16"/>
  <c r="AD259" i="16" s="1"/>
  <c r="AH257" i="16"/>
  <c r="AH259" i="16" s="1"/>
  <c r="AN257" i="16"/>
  <c r="AN259" i="16" s="1"/>
  <c r="AK257" i="16"/>
  <c r="AK259" i="16" s="1"/>
  <c r="AE257" i="12"/>
  <c r="AE259" i="12" s="1"/>
  <c r="AK257" i="12"/>
  <c r="AK259" i="12" s="1"/>
  <c r="Z257" i="12"/>
  <c r="Z259" i="12" s="1"/>
  <c r="AM257" i="12"/>
  <c r="AM259" i="12" s="1"/>
  <c r="AG257" i="12"/>
  <c r="AG259" i="12" s="1"/>
  <c r="AS257" i="12"/>
  <c r="AS259" i="12" s="1"/>
  <c r="AB257" i="12"/>
  <c r="AB259" i="12" s="1"/>
  <c r="AX257" i="12"/>
  <c r="AX259" i="12" s="1"/>
  <c r="Z152" i="12"/>
  <c r="Z154" i="16"/>
  <c r="AB257" i="16"/>
  <c r="AB259" i="16" s="1"/>
  <c r="AG257" i="16"/>
  <c r="AG259" i="16" s="1"/>
  <c r="AE257" i="16"/>
  <c r="AL257" i="16"/>
  <c r="AL259" i="16" s="1"/>
  <c r="Z207" i="12"/>
  <c r="BA257" i="12"/>
  <c r="BA259" i="12" s="1"/>
  <c r="AN257" i="12"/>
  <c r="AN259" i="12" s="1"/>
  <c r="AW257" i="12"/>
  <c r="AW259" i="12" s="1"/>
  <c r="AR257" i="12"/>
  <c r="AR259" i="12" s="1"/>
  <c r="AP257" i="12"/>
  <c r="AP259" i="12" s="1"/>
  <c r="Z259" i="16"/>
  <c r="AM259" i="16"/>
  <c r="U259" i="16"/>
  <c r="P259" i="16"/>
  <c r="S259" i="16"/>
  <c r="R259" i="16"/>
  <c r="V259" i="16"/>
  <c r="AE259" i="16"/>
  <c r="BA256" i="16"/>
  <c r="AU256" i="16"/>
  <c r="AW256" i="16"/>
  <c r="AU153" i="16"/>
  <c r="AV270" i="16"/>
  <c r="AV256" i="16"/>
  <c r="L230" i="16"/>
  <c r="K270" i="16"/>
  <c r="G270" i="16"/>
  <c r="AZ145" i="16"/>
  <c r="BA266" i="16"/>
  <c r="AZ245" i="16"/>
  <c r="AZ125" i="16"/>
  <c r="AY144" i="16"/>
  <c r="AX145" i="16"/>
  <c r="AY266" i="16"/>
  <c r="AX123" i="16"/>
  <c r="AT144" i="16"/>
  <c r="AT146" i="16"/>
  <c r="AQ123" i="16"/>
  <c r="AQ229" i="16"/>
  <c r="AN229" i="16"/>
  <c r="AN126" i="16"/>
  <c r="AN242" i="16"/>
  <c r="AN124" i="16"/>
  <c r="AO266" i="16"/>
  <c r="AN33" i="16"/>
  <c r="AN125" i="16"/>
  <c r="AN216" i="16"/>
  <c r="AN245" i="16"/>
  <c r="AN128" i="16"/>
  <c r="AN197" i="16"/>
  <c r="AN201" i="16" s="1"/>
  <c r="AN206" i="16" s="1"/>
  <c r="AN210" i="16" s="1"/>
  <c r="AN212" i="16" s="1"/>
  <c r="AN123" i="16"/>
  <c r="AN226" i="16"/>
  <c r="AN127" i="16"/>
  <c r="AO269" i="12"/>
  <c r="AN154" i="16"/>
  <c r="AN230" i="12"/>
  <c r="AO269" i="16"/>
  <c r="AN152" i="16"/>
  <c r="AN152" i="12"/>
  <c r="AN155" i="16"/>
  <c r="AL123" i="16"/>
  <c r="AL226" i="16"/>
  <c r="AL124" i="16"/>
  <c r="AK128" i="16"/>
  <c r="AK126" i="16"/>
  <c r="AK229" i="16"/>
  <c r="AJ124" i="16"/>
  <c r="AJ123" i="16"/>
  <c r="AJ33" i="16"/>
  <c r="AH229" i="16"/>
  <c r="AH242" i="16"/>
  <c r="AH245" i="16"/>
  <c r="AC144" i="16"/>
  <c r="AC266" i="16"/>
  <c r="AB124" i="16"/>
  <c r="AA146" i="16"/>
  <c r="AA123" i="16"/>
  <c r="Z125" i="16"/>
  <c r="Z242" i="16"/>
  <c r="Z245" i="16"/>
  <c r="X146" i="16"/>
  <c r="X145" i="16"/>
  <c r="Y266" i="16"/>
  <c r="U145" i="16"/>
  <c r="U144" i="16"/>
  <c r="U146" i="16"/>
  <c r="U216" i="16"/>
  <c r="R197" i="16"/>
  <c r="R201" i="16" s="1"/>
  <c r="R206" i="16" s="1"/>
  <c r="R210" i="16" s="1"/>
  <c r="R212" i="16" s="1"/>
  <c r="P218" i="16"/>
  <c r="P126" i="16"/>
  <c r="BA148" i="16"/>
  <c r="Z148" i="12"/>
  <c r="Z16" i="16"/>
  <c r="Y148" i="12"/>
  <c r="X151" i="16"/>
  <c r="X148" i="16"/>
  <c r="X151" i="12"/>
  <c r="V148" i="16"/>
  <c r="V151" i="16"/>
  <c r="V148" i="12"/>
  <c r="N226" i="16"/>
  <c r="N229" i="16"/>
  <c r="AC268" i="16"/>
  <c r="AB148" i="16"/>
  <c r="AC268" i="12"/>
  <c r="AB148" i="12"/>
  <c r="AA268" i="16"/>
  <c r="X127" i="12"/>
  <c r="X268" i="16"/>
  <c r="U268" i="16"/>
  <c r="T268" i="16"/>
  <c r="S268" i="16"/>
  <c r="Q268" i="16"/>
  <c r="P128" i="12"/>
  <c r="P137" i="16"/>
  <c r="P47" i="17" s="1"/>
  <c r="O268" i="16"/>
  <c r="O11" i="16"/>
  <c r="O267" i="16" s="1"/>
  <c r="N128" i="12"/>
  <c r="N268" i="16"/>
  <c r="N125" i="16"/>
  <c r="K268" i="16"/>
  <c r="K67" i="16"/>
  <c r="N5" i="33" s="1"/>
  <c r="N70" i="16" s="1"/>
  <c r="N54" i="17" s="1"/>
  <c r="J268" i="16"/>
  <c r="I268" i="16"/>
  <c r="G268" i="16"/>
  <c r="Q33" i="16"/>
  <c r="Q144" i="16" s="1"/>
  <c r="R266" i="16"/>
  <c r="Q125" i="16"/>
  <c r="Q216" i="16"/>
  <c r="Q229" i="16"/>
  <c r="Q126" i="16"/>
  <c r="Q197" i="16"/>
  <c r="Q201" i="16" s="1"/>
  <c r="Q206" i="16" s="1"/>
  <c r="Q210" i="16" s="1"/>
  <c r="Q212" i="16" s="1"/>
  <c r="Q226" i="16"/>
  <c r="Q267" i="16"/>
  <c r="Q228" i="16"/>
  <c r="Q220" i="16"/>
  <c r="Q266" i="16"/>
  <c r="O250" i="16"/>
  <c r="O150" i="16"/>
  <c r="O147" i="12"/>
  <c r="O228" i="12"/>
  <c r="Q218" i="16"/>
  <c r="Q137" i="16"/>
  <c r="Q47" i="17" s="1"/>
  <c r="AG250" i="16"/>
  <c r="P216" i="16"/>
  <c r="P229" i="16"/>
  <c r="P144" i="16"/>
  <c r="AH250" i="16"/>
  <c r="N33" i="16"/>
  <c r="N126" i="16"/>
  <c r="N218" i="16"/>
  <c r="AV229" i="16"/>
  <c r="AV245" i="16"/>
  <c r="AV125" i="16"/>
  <c r="AR124" i="16"/>
  <c r="AR226" i="16"/>
  <c r="AK242" i="16"/>
  <c r="AK33" i="16"/>
  <c r="AB242" i="16"/>
  <c r="AB33" i="16"/>
  <c r="AB245" i="16"/>
  <c r="Y128" i="12"/>
  <c r="W127" i="12"/>
  <c r="W128" i="12"/>
  <c r="U128" i="12"/>
  <c r="U127" i="12"/>
  <c r="T127" i="12"/>
  <c r="T128" i="12"/>
  <c r="R226" i="16"/>
  <c r="Q127" i="12"/>
  <c r="O127" i="12"/>
  <c r="O128" i="12"/>
  <c r="M218" i="16"/>
  <c r="M226" i="16"/>
  <c r="N266" i="16"/>
  <c r="K246" i="16"/>
  <c r="K245" i="16"/>
  <c r="G280" i="16"/>
  <c r="H280" i="16"/>
  <c r="AN128" i="12"/>
  <c r="AN123" i="12"/>
  <c r="AN226" i="12"/>
  <c r="AN197" i="12"/>
  <c r="AN201" i="12" s="1"/>
  <c r="AN206" i="12" s="1"/>
  <c r="AN210" i="12" s="1"/>
  <c r="AN212" i="12" s="1"/>
  <c r="AN124" i="12"/>
  <c r="AN137" i="12"/>
  <c r="AN59" i="17" s="1"/>
  <c r="AN125" i="12"/>
  <c r="AN245" i="12"/>
  <c r="AN216" i="12"/>
  <c r="AN126" i="12"/>
  <c r="V128" i="12"/>
  <c r="R127" i="12"/>
  <c r="G216" i="16"/>
  <c r="G226" i="16"/>
  <c r="G242" i="16"/>
  <c r="G266" i="16"/>
  <c r="G229" i="16"/>
  <c r="H266" i="16"/>
  <c r="G245" i="16"/>
  <c r="G218" i="16"/>
  <c r="G197" i="16"/>
  <c r="G201" i="16" s="1"/>
  <c r="G206" i="16" s="1"/>
  <c r="G210" i="16" s="1"/>
  <c r="G212" i="16" s="1"/>
  <c r="G33" i="16"/>
  <c r="P215" i="12"/>
  <c r="Q9" i="12"/>
  <c r="P249" i="12"/>
  <c r="P196" i="12"/>
  <c r="P265" i="12"/>
  <c r="F52" i="17"/>
  <c r="M61" i="16"/>
  <c r="P9" i="16"/>
  <c r="P73" i="16" s="1"/>
  <c r="M196" i="16"/>
  <c r="O249" i="12"/>
  <c r="O2" i="17"/>
  <c r="J9" i="12"/>
  <c r="E6" i="12"/>
  <c r="E2" i="16" s="1"/>
  <c r="N66" i="16"/>
  <c r="N60" i="16"/>
  <c r="N64" i="16"/>
  <c r="N63" i="16" s="1"/>
  <c r="M249" i="16"/>
  <c r="M2" i="17"/>
  <c r="L2" i="17" s="1"/>
  <c r="K2" i="17" s="1"/>
  <c r="J2" i="17" s="1"/>
  <c r="I2" i="17" s="1"/>
  <c r="H2" i="17" s="1"/>
  <c r="G2" i="17" s="1"/>
  <c r="F2" i="17" s="1"/>
  <c r="N74" i="16"/>
  <c r="L9" i="16"/>
  <c r="N46" i="17"/>
  <c r="P145" i="16"/>
  <c r="O60" i="16"/>
  <c r="O61" i="16" s="1"/>
  <c r="P65" i="16"/>
  <c r="N65" i="16"/>
  <c r="P265" i="16"/>
  <c r="P249" i="16"/>
  <c r="O196" i="16"/>
  <c r="Q249" i="12"/>
  <c r="P3" i="33"/>
  <c r="P64" i="16"/>
  <c r="P63" i="16" s="1"/>
  <c r="O65" i="16"/>
  <c r="Q215" i="12"/>
  <c r="Q9" i="16"/>
  <c r="O215" i="16"/>
  <c r="O74" i="16"/>
  <c r="O64" i="16"/>
  <c r="O63" i="16" s="1"/>
  <c r="M265" i="16"/>
  <c r="I108" i="8" l="1"/>
  <c r="I85" i="8"/>
  <c r="I45" i="8"/>
  <c r="I30" i="8"/>
  <c r="I109" i="8"/>
  <c r="I58" i="8"/>
  <c r="I36" i="8"/>
  <c r="I114" i="8"/>
  <c r="I78" i="8"/>
  <c r="I39" i="8"/>
  <c r="I64" i="8"/>
  <c r="I88" i="8"/>
  <c r="I33" i="8"/>
  <c r="I93" i="8"/>
  <c r="I29" i="8"/>
  <c r="I112" i="8"/>
  <c r="I59" i="8"/>
  <c r="I111" i="8"/>
  <c r="I104" i="8"/>
  <c r="I61" i="8"/>
  <c r="I20" i="8"/>
  <c r="I89" i="8"/>
  <c r="I37" i="8"/>
  <c r="I16" i="8"/>
  <c r="I81" i="8"/>
  <c r="I40" i="8"/>
  <c r="I101" i="8"/>
  <c r="I10" i="8"/>
  <c r="I82" i="8"/>
  <c r="I65" i="8"/>
  <c r="I43" i="8"/>
  <c r="I31" i="8"/>
  <c r="I72" i="8"/>
  <c r="I96" i="8"/>
  <c r="I41" i="8"/>
  <c r="I49" i="8"/>
  <c r="I53" i="8"/>
  <c r="I34" i="8"/>
  <c r="I113" i="8"/>
  <c r="I52" i="8"/>
  <c r="I105" i="8"/>
  <c r="I116" i="8"/>
  <c r="I23" i="8"/>
  <c r="I103" i="8"/>
  <c r="I15" i="8"/>
  <c r="I94" i="8"/>
  <c r="I44" i="8"/>
  <c r="I92" i="8"/>
  <c r="I115" i="8"/>
  <c r="I42" i="8"/>
  <c r="I21" i="8"/>
  <c r="I18" i="8"/>
  <c r="J9" i="8"/>
  <c r="I95" i="8"/>
  <c r="I100" i="8"/>
  <c r="I90" i="8"/>
  <c r="I47" i="8"/>
  <c r="I102" i="8"/>
  <c r="I14" i="8"/>
  <c r="I60" i="8"/>
  <c r="I106" i="8"/>
  <c r="I13" i="8"/>
  <c r="I38" i="8"/>
  <c r="I32" i="8"/>
  <c r="I19" i="8"/>
  <c r="I51" i="8"/>
  <c r="I54" i="8"/>
  <c r="I76" i="8"/>
  <c r="I17" i="8"/>
  <c r="I11" i="8"/>
  <c r="I99" i="8"/>
  <c r="I24" i="8"/>
  <c r="I56" i="8"/>
  <c r="I84" i="8"/>
  <c r="I35" i="8"/>
  <c r="I26" i="8"/>
  <c r="I98" i="8"/>
  <c r="I97" i="8"/>
  <c r="I55" i="8"/>
  <c r="I77" i="8"/>
  <c r="I50" i="8"/>
  <c r="I66" i="8"/>
  <c r="I87" i="8"/>
  <c r="I68" i="8"/>
  <c r="I107" i="8"/>
  <c r="I12" i="8"/>
  <c r="I74" i="8"/>
  <c r="I110" i="8"/>
  <c r="I86" i="8"/>
  <c r="I79" i="8"/>
  <c r="I22" i="8"/>
  <c r="I83" i="8"/>
  <c r="I69" i="8"/>
  <c r="I27" i="8"/>
  <c r="I46" i="8"/>
  <c r="I80" i="8"/>
  <c r="I70" i="8"/>
  <c r="I91" i="8"/>
  <c r="I48" i="8"/>
  <c r="I57" i="8"/>
  <c r="I62" i="8"/>
  <c r="I63" i="8"/>
  <c r="I75" i="8"/>
  <c r="I67" i="8"/>
  <c r="I28" i="8"/>
  <c r="I25" i="8"/>
  <c r="I73" i="8"/>
  <c r="I71" i="8"/>
  <c r="N217" i="16"/>
  <c r="AM271" i="16"/>
  <c r="AL232" i="16"/>
  <c r="AL216" i="16"/>
  <c r="AL33" i="16"/>
  <c r="AL231" i="16"/>
  <c r="J245" i="16"/>
  <c r="J247" i="16"/>
  <c r="K280" i="16"/>
  <c r="J48" i="17"/>
  <c r="J280" i="16"/>
  <c r="T259" i="16"/>
  <c r="AC257" i="16"/>
  <c r="AC259" i="16" s="1"/>
  <c r="AJ257" i="16"/>
  <c r="AJ259" i="16" s="1"/>
  <c r="AA257" i="16"/>
  <c r="AA259" i="16" s="1"/>
  <c r="W259" i="16"/>
  <c r="P60" i="16"/>
  <c r="P66" i="16"/>
  <c r="P74" i="16"/>
  <c r="G210" i="12"/>
  <c r="G212" i="12" s="1"/>
  <c r="AQ146" i="16"/>
  <c r="AQ145" i="16"/>
  <c r="AQ144" i="16"/>
  <c r="W271" i="16"/>
  <c r="V216" i="16"/>
  <c r="V231" i="16"/>
  <c r="V232" i="16"/>
  <c r="V271" i="16"/>
  <c r="V33" i="16"/>
  <c r="X259" i="16"/>
  <c r="AP229" i="16"/>
  <c r="AP123" i="16"/>
  <c r="AQ266" i="16"/>
  <c r="AP124" i="16"/>
  <c r="AP128" i="16"/>
  <c r="AP33" i="16"/>
  <c r="AP197" i="16"/>
  <c r="AP201" i="16" s="1"/>
  <c r="AP206" i="16" s="1"/>
  <c r="AP210" i="16" s="1"/>
  <c r="AP126" i="16"/>
  <c r="AP125" i="16"/>
  <c r="AP245" i="16"/>
  <c r="AP226" i="16"/>
  <c r="AP242" i="16"/>
  <c r="AP127" i="16"/>
  <c r="AP216" i="16"/>
  <c r="F246" i="16"/>
  <c r="F247" i="16"/>
  <c r="F48" i="17"/>
  <c r="F245" i="16"/>
  <c r="O8" i="33"/>
  <c r="P215" i="16"/>
  <c r="AL169" i="16"/>
  <c r="K249" i="12"/>
  <c r="K215" i="12"/>
  <c r="K265" i="12"/>
  <c r="K196" i="12"/>
  <c r="R1" i="14"/>
  <c r="B1" i="14"/>
  <c r="BA257" i="16"/>
  <c r="AU176" i="16"/>
  <c r="C1" i="12"/>
  <c r="E8" i="12" s="1"/>
  <c r="Q145" i="16"/>
  <c r="AR250" i="16"/>
  <c r="J52" i="17"/>
  <c r="O277" i="16"/>
  <c r="O182" i="16"/>
  <c r="P243" i="16"/>
  <c r="O243" i="16"/>
  <c r="AL210" i="12"/>
  <c r="AL212" i="12" s="1"/>
  <c r="AU139" i="16"/>
  <c r="AU140" i="16"/>
  <c r="T139" i="16"/>
  <c r="T140" i="16"/>
  <c r="AD91" i="16"/>
  <c r="AD191" i="16" s="1"/>
  <c r="AD158" i="16"/>
  <c r="AK190" i="16"/>
  <c r="AK189" i="16"/>
  <c r="AK222" i="16"/>
  <c r="AL290" i="16"/>
  <c r="J290" i="16"/>
  <c r="I222" i="16"/>
  <c r="AK221" i="16"/>
  <c r="AK188" i="16"/>
  <c r="AL288" i="16"/>
  <c r="AK187" i="16"/>
  <c r="Q57" i="16"/>
  <c r="Q138" i="16" s="1"/>
  <c r="P242" i="16"/>
  <c r="P236" i="16"/>
  <c r="P277" i="16"/>
  <c r="P182" i="16"/>
  <c r="AX179" i="16"/>
  <c r="AZ179" i="16"/>
  <c r="AZ176" i="16"/>
  <c r="AP35" i="16"/>
  <c r="AP211" i="16"/>
  <c r="AP212" i="16" s="1"/>
  <c r="AP171" i="16"/>
  <c r="AC146" i="16"/>
  <c r="AC145" i="16"/>
  <c r="S146" i="16"/>
  <c r="S144" i="16"/>
  <c r="Z274" i="16"/>
  <c r="Y156" i="16"/>
  <c r="Y163" i="16"/>
  <c r="Y164" i="16"/>
  <c r="BA273" i="16"/>
  <c r="AZ156" i="16"/>
  <c r="Q146" i="16"/>
  <c r="K216" i="16"/>
  <c r="K232" i="16"/>
  <c r="K33" i="16"/>
  <c r="K231" i="16"/>
  <c r="K218" i="16"/>
  <c r="L271" i="16"/>
  <c r="K271" i="16"/>
  <c r="M271" i="16"/>
  <c r="AQ207" i="16"/>
  <c r="AQ154" i="16"/>
  <c r="AQ152" i="16"/>
  <c r="AR257" i="16"/>
  <c r="AR259" i="16" s="1"/>
  <c r="AS257" i="16"/>
  <c r="AS259" i="16" s="1"/>
  <c r="AZ257" i="16"/>
  <c r="AZ259" i="16" s="1"/>
  <c r="AT257" i="16"/>
  <c r="AT259" i="16" s="1"/>
  <c r="AQ257" i="16"/>
  <c r="AQ259" i="16" s="1"/>
  <c r="AW257" i="16"/>
  <c r="AW259" i="16" s="1"/>
  <c r="AP207" i="16"/>
  <c r="AP154" i="16"/>
  <c r="AP152" i="16"/>
  <c r="AP257" i="16"/>
  <c r="AP259" i="16" s="1"/>
  <c r="AU257" i="16"/>
  <c r="AU259" i="16" s="1"/>
  <c r="AY257" i="16"/>
  <c r="AY259" i="16" s="1"/>
  <c r="AX257" i="16"/>
  <c r="AX259" i="16" s="1"/>
  <c r="AV257" i="16"/>
  <c r="AV259" i="16" s="1"/>
  <c r="BA259" i="16"/>
  <c r="K51" i="17"/>
  <c r="O5" i="33"/>
  <c r="O70" i="16" s="1"/>
  <c r="O54" i="17" s="1"/>
  <c r="AN146" i="16"/>
  <c r="AN144" i="16"/>
  <c r="AN145" i="16"/>
  <c r="AJ144" i="16"/>
  <c r="AJ145" i="16"/>
  <c r="AJ146" i="16"/>
  <c r="Z148" i="16"/>
  <c r="Z151" i="16"/>
  <c r="W250" i="16"/>
  <c r="O67" i="16"/>
  <c r="P7" i="33" s="1"/>
  <c r="Z250" i="16"/>
  <c r="AX250" i="16"/>
  <c r="AM250" i="16"/>
  <c r="O219" i="16"/>
  <c r="AP250" i="16"/>
  <c r="AC250" i="16"/>
  <c r="U250" i="16"/>
  <c r="V250" i="16"/>
  <c r="BA250" i="16"/>
  <c r="O149" i="16"/>
  <c r="T250" i="16"/>
  <c r="AI250" i="16"/>
  <c r="AT250" i="16"/>
  <c r="O68" i="16"/>
  <c r="O227" i="16"/>
  <c r="AQ250" i="16"/>
  <c r="AD250" i="16"/>
  <c r="AK250" i="16"/>
  <c r="O147" i="16"/>
  <c r="AY250" i="16"/>
  <c r="AW250" i="16"/>
  <c r="AS250" i="16"/>
  <c r="AJ250" i="16"/>
  <c r="AV250" i="16"/>
  <c r="O10" i="16"/>
  <c r="O126" i="16" s="1"/>
  <c r="P267" i="16"/>
  <c r="P250" i="16"/>
  <c r="Y250" i="16"/>
  <c r="Q250" i="16"/>
  <c r="AE250" i="16"/>
  <c r="AU250" i="16"/>
  <c r="AN250" i="16"/>
  <c r="AZ250" i="16"/>
  <c r="S250" i="16"/>
  <c r="AB250" i="16"/>
  <c r="AO250" i="16"/>
  <c r="X250" i="16"/>
  <c r="O228" i="16"/>
  <c r="AL250" i="16"/>
  <c r="O220" i="16"/>
  <c r="AA250" i="16"/>
  <c r="R250" i="16"/>
  <c r="AF250" i="16"/>
  <c r="N4" i="33"/>
  <c r="N69" i="16" s="1"/>
  <c r="N53" i="17" s="1"/>
  <c r="N7" i="33"/>
  <c r="O7" i="33"/>
  <c r="N8" i="33"/>
  <c r="O4" i="33"/>
  <c r="O69" i="16" s="1"/>
  <c r="O53" i="17" s="1"/>
  <c r="N76" i="16"/>
  <c r="O216" i="16"/>
  <c r="P61" i="16"/>
  <c r="P136" i="16" s="1"/>
  <c r="P246" i="16"/>
  <c r="P245" i="16"/>
  <c r="O246" i="16"/>
  <c r="N224" i="16"/>
  <c r="N124" i="16"/>
  <c r="N128" i="16" s="1"/>
  <c r="N145" i="16"/>
  <c r="N144" i="16"/>
  <c r="N146" i="16"/>
  <c r="N246" i="16"/>
  <c r="N280" i="16"/>
  <c r="N245" i="16"/>
  <c r="AK144" i="16"/>
  <c r="AK145" i="16"/>
  <c r="AK146" i="16"/>
  <c r="AB144" i="16"/>
  <c r="AB146" i="16"/>
  <c r="AB145" i="16"/>
  <c r="N50" i="17"/>
  <c r="N116" i="16"/>
  <c r="N72" i="16"/>
  <c r="N56" i="17" s="1"/>
  <c r="N48" i="17"/>
  <c r="N252" i="16"/>
  <c r="N255" i="16" s="1"/>
  <c r="N247" i="16"/>
  <c r="N61" i="16"/>
  <c r="N281" i="16" s="1"/>
  <c r="O280" i="16"/>
  <c r="L196" i="16"/>
  <c r="L265" i="16"/>
  <c r="L61" i="16"/>
  <c r="L249" i="16"/>
  <c r="K9" i="16"/>
  <c r="L215" i="16"/>
  <c r="P2" i="17"/>
  <c r="O46" i="17"/>
  <c r="O58" i="17"/>
  <c r="M114" i="16"/>
  <c r="M49" i="17"/>
  <c r="Q196" i="12"/>
  <c r="R9" i="12"/>
  <c r="Q265" i="12"/>
  <c r="J215" i="12"/>
  <c r="I9" i="12"/>
  <c r="J196" i="12"/>
  <c r="J249" i="12"/>
  <c r="J265" i="12"/>
  <c r="P196" i="16"/>
  <c r="O50" i="17"/>
  <c r="P50" i="17"/>
  <c r="Q249" i="16"/>
  <c r="Q74" i="16"/>
  <c r="Q265" i="16"/>
  <c r="Q3" i="33"/>
  <c r="Q5" i="33"/>
  <c r="Q70" i="16" s="1"/>
  <c r="Q54" i="17" s="1"/>
  <c r="Q60" i="16"/>
  <c r="Q61" i="16" s="1"/>
  <c r="Q66" i="16"/>
  <c r="Q65" i="16"/>
  <c r="Q196" i="16"/>
  <c r="Q64" i="16"/>
  <c r="Q63" i="16" s="1"/>
  <c r="R9" i="16"/>
  <c r="Q215" i="16"/>
  <c r="Q7" i="33"/>
  <c r="O48" i="17"/>
  <c r="O247" i="16"/>
  <c r="P252" i="16"/>
  <c r="P255" i="16" s="1"/>
  <c r="P280" i="16"/>
  <c r="O252" i="16"/>
  <c r="O255" i="16" s="1"/>
  <c r="P247" i="16"/>
  <c r="P48" i="17"/>
  <c r="O136" i="16"/>
  <c r="O49" i="17"/>
  <c r="O114" i="16"/>
  <c r="AP144" i="16" l="1"/>
  <c r="AP146" i="16"/>
  <c r="AP145" i="16"/>
  <c r="V145" i="16"/>
  <c r="V144" i="16"/>
  <c r="V146" i="16"/>
  <c r="AL145" i="16"/>
  <c r="AL146" i="16"/>
  <c r="AL144" i="16"/>
  <c r="J101" i="8"/>
  <c r="J74" i="8"/>
  <c r="J92" i="8"/>
  <c r="J94" i="8"/>
  <c r="J38" i="8"/>
  <c r="J27" i="8"/>
  <c r="J108" i="8"/>
  <c r="J30" i="8"/>
  <c r="J19" i="8"/>
  <c r="J93" i="8"/>
  <c r="J45" i="8"/>
  <c r="J49" i="8"/>
  <c r="J77" i="8"/>
  <c r="J12" i="8"/>
  <c r="J78" i="8"/>
  <c r="J29" i="8"/>
  <c r="J72" i="8"/>
  <c r="J26" i="8"/>
  <c r="J59" i="8"/>
  <c r="J18" i="8"/>
  <c r="J86" i="8"/>
  <c r="J36" i="8"/>
  <c r="J66" i="8"/>
  <c r="J42" i="8"/>
  <c r="J56" i="8"/>
  <c r="J31" i="8"/>
  <c r="J102" i="8"/>
  <c r="J95" i="8"/>
  <c r="J106" i="8"/>
  <c r="J71" i="8"/>
  <c r="J62" i="8"/>
  <c r="J10" i="8"/>
  <c r="J88" i="8"/>
  <c r="J53" i="8"/>
  <c r="J87" i="8"/>
  <c r="J40" i="8"/>
  <c r="J100" i="8"/>
  <c r="J17" i="8"/>
  <c r="J64" i="8"/>
  <c r="J91" i="8"/>
  <c r="J43" i="8"/>
  <c r="J50" i="8"/>
  <c r="J28" i="8"/>
  <c r="J11" i="8"/>
  <c r="J110" i="8"/>
  <c r="J25" i="8"/>
  <c r="J15" i="8"/>
  <c r="J96" i="8"/>
  <c r="J97" i="8"/>
  <c r="J85" i="8"/>
  <c r="J23" i="8"/>
  <c r="J54" i="8"/>
  <c r="J112" i="8"/>
  <c r="J13" i="8"/>
  <c r="J44" i="8"/>
  <c r="J51" i="8"/>
  <c r="J46" i="8"/>
  <c r="J90" i="8"/>
  <c r="J37" i="8"/>
  <c r="J116" i="8"/>
  <c r="J24" i="8"/>
  <c r="J33" i="8"/>
  <c r="J76" i="8"/>
  <c r="J75" i="8"/>
  <c r="J57" i="8"/>
  <c r="J113" i="8"/>
  <c r="J61" i="8"/>
  <c r="J84" i="8"/>
  <c r="J16" i="8"/>
  <c r="J34" i="8"/>
  <c r="J22" i="8"/>
  <c r="J63" i="8"/>
  <c r="J69" i="8"/>
  <c r="J73" i="8"/>
  <c r="J89" i="8"/>
  <c r="J70" i="8"/>
  <c r="J104" i="8"/>
  <c r="J67" i="8"/>
  <c r="J114" i="8"/>
  <c r="J80" i="8"/>
  <c r="J82" i="8"/>
  <c r="J39" i="8"/>
  <c r="J68" i="8"/>
  <c r="J47" i="8"/>
  <c r="J107" i="8"/>
  <c r="K9" i="8"/>
  <c r="J21" i="8"/>
  <c r="J41" i="8"/>
  <c r="J20" i="8"/>
  <c r="J35" i="8"/>
  <c r="J55" i="8"/>
  <c r="J99" i="8"/>
  <c r="J14" i="8"/>
  <c r="J52" i="8"/>
  <c r="J115" i="8"/>
  <c r="J32" i="8"/>
  <c r="J109" i="8"/>
  <c r="J60" i="8"/>
  <c r="J98" i="8"/>
  <c r="J79" i="8"/>
  <c r="J103" i="8"/>
  <c r="J58" i="8"/>
  <c r="J105" i="8"/>
  <c r="J81" i="8"/>
  <c r="J83" i="8"/>
  <c r="J65" i="8"/>
  <c r="J111" i="8"/>
  <c r="J48" i="8"/>
  <c r="R57" i="16"/>
  <c r="R277" i="16" s="1"/>
  <c r="Q242" i="16"/>
  <c r="P4" i="33"/>
  <c r="P69" i="16" s="1"/>
  <c r="P115" i="16" s="1"/>
  <c r="Q182" i="16"/>
  <c r="Q236" i="16"/>
  <c r="Q73" i="16"/>
  <c r="Q277" i="16"/>
  <c r="Q243" i="16"/>
  <c r="R138" i="16"/>
  <c r="P281" i="16"/>
  <c r="Q4" i="33"/>
  <c r="Q69" i="16" s="1"/>
  <c r="Q53" i="17" s="1"/>
  <c r="O116" i="16"/>
  <c r="O224" i="16"/>
  <c r="O76" i="16"/>
  <c r="O72" i="16"/>
  <c r="O56" i="17" s="1"/>
  <c r="O115" i="16"/>
  <c r="N75" i="16"/>
  <c r="O75" i="16"/>
  <c r="O223" i="16"/>
  <c r="N123" i="16"/>
  <c r="N127" i="16" s="1"/>
  <c r="N115" i="16"/>
  <c r="O197" i="16"/>
  <c r="O201" i="16" s="1"/>
  <c r="O206" i="16" s="1"/>
  <c r="O210" i="16" s="1"/>
  <c r="O212" i="16" s="1"/>
  <c r="O218" i="16"/>
  <c r="P266" i="16"/>
  <c r="O245" i="16"/>
  <c r="O124" i="16"/>
  <c r="O51" i="17"/>
  <c r="P5" i="33"/>
  <c r="P70" i="16" s="1"/>
  <c r="P8" i="33"/>
  <c r="Q8" i="33"/>
  <c r="O226" i="16"/>
  <c r="O266" i="16"/>
  <c r="O125" i="16"/>
  <c r="O137" i="16"/>
  <c r="O47" i="17" s="1"/>
  <c r="O229" i="16"/>
  <c r="O242" i="16"/>
  <c r="O33" i="16"/>
  <c r="O73" i="16"/>
  <c r="O52" i="17"/>
  <c r="O66" i="16"/>
  <c r="O71" i="16"/>
  <c r="O55" i="17" s="1"/>
  <c r="N71" i="16"/>
  <c r="N55" i="17" s="1"/>
  <c r="O123" i="16"/>
  <c r="O127" i="16" s="1"/>
  <c r="N223" i="16"/>
  <c r="Q281" i="16"/>
  <c r="P114" i="16"/>
  <c r="P49" i="17"/>
  <c r="Q280" i="16"/>
  <c r="Q252" i="16"/>
  <c r="Q255" i="16" s="1"/>
  <c r="Q224" i="16"/>
  <c r="Q124" i="16"/>
  <c r="Q128" i="16" s="1"/>
  <c r="Q246" i="16"/>
  <c r="Q245" i="16"/>
  <c r="P58" i="17"/>
  <c r="Q2" i="17"/>
  <c r="P46" i="17"/>
  <c r="L114" i="16"/>
  <c r="L49" i="17"/>
  <c r="O281" i="16"/>
  <c r="N136" i="16"/>
  <c r="N49" i="17"/>
  <c r="N114" i="16"/>
  <c r="J9" i="16"/>
  <c r="K61" i="16"/>
  <c r="K265" i="16"/>
  <c r="K249" i="16"/>
  <c r="K215" i="16"/>
  <c r="K196" i="16"/>
  <c r="I265" i="12"/>
  <c r="I196" i="12"/>
  <c r="I249" i="12"/>
  <c r="H9" i="12"/>
  <c r="I215" i="12"/>
  <c r="S9" i="12"/>
  <c r="R265" i="12"/>
  <c r="R249" i="12"/>
  <c r="R196" i="12"/>
  <c r="R215" i="12"/>
  <c r="Q116" i="16"/>
  <c r="Q50" i="17"/>
  <c r="Q72" i="16"/>
  <c r="Q56" i="17" s="1"/>
  <c r="Q76" i="16"/>
  <c r="R8" i="33"/>
  <c r="R4" i="33"/>
  <c r="R69" i="16" s="1"/>
  <c r="R53" i="17" s="1"/>
  <c r="R3" i="33"/>
  <c r="R5" i="33"/>
  <c r="R70" i="16" s="1"/>
  <c r="R54" i="17" s="1"/>
  <c r="R249" i="16"/>
  <c r="R46" i="16"/>
  <c r="R64" i="16"/>
  <c r="R60" i="16"/>
  <c r="R280" i="16" s="1"/>
  <c r="R74" i="16"/>
  <c r="R111" i="16"/>
  <c r="R112" i="16"/>
  <c r="R162" i="16" s="1"/>
  <c r="R110" i="16"/>
  <c r="R7" i="33"/>
  <c r="R215" i="16"/>
  <c r="R73" i="16"/>
  <c r="R196" i="16"/>
  <c r="R265" i="16"/>
  <c r="S9" i="16"/>
  <c r="Q48" i="17"/>
  <c r="Q247" i="16"/>
  <c r="Q136" i="16"/>
  <c r="Q49" i="17"/>
  <c r="Q114" i="16"/>
  <c r="R242" i="16" l="1"/>
  <c r="K92" i="8"/>
  <c r="K65" i="8"/>
  <c r="K12" i="8"/>
  <c r="K113" i="8"/>
  <c r="K78" i="8"/>
  <c r="K59" i="8"/>
  <c r="K16" i="8"/>
  <c r="K76" i="8"/>
  <c r="K48" i="8"/>
  <c r="K101" i="8"/>
  <c r="K29" i="8"/>
  <c r="K14" i="8"/>
  <c r="K77" i="8"/>
  <c r="K20" i="8"/>
  <c r="K99" i="8"/>
  <c r="K108" i="8"/>
  <c r="K58" i="8"/>
  <c r="K25" i="8"/>
  <c r="K96" i="8"/>
  <c r="K56" i="8"/>
  <c r="K115" i="8"/>
  <c r="K54" i="8"/>
  <c r="K105" i="8"/>
  <c r="K50" i="8"/>
  <c r="K93" i="8"/>
  <c r="K53" i="8"/>
  <c r="K90" i="8"/>
  <c r="K52" i="8"/>
  <c r="K102" i="8"/>
  <c r="K34" i="8"/>
  <c r="K27" i="8"/>
  <c r="K70" i="8"/>
  <c r="K114" i="8"/>
  <c r="K26" i="8"/>
  <c r="K35" i="8"/>
  <c r="K63" i="8"/>
  <c r="K68" i="8"/>
  <c r="K79" i="8"/>
  <c r="K47" i="8"/>
  <c r="K110" i="8"/>
  <c r="K57" i="8"/>
  <c r="K94" i="8"/>
  <c r="K46" i="8"/>
  <c r="K81" i="8"/>
  <c r="K39" i="8"/>
  <c r="K28" i="8"/>
  <c r="K84" i="8"/>
  <c r="K104" i="8"/>
  <c r="K60" i="8"/>
  <c r="K45" i="8"/>
  <c r="K36" i="8"/>
  <c r="K71" i="8"/>
  <c r="K72" i="8"/>
  <c r="K62" i="8"/>
  <c r="K38" i="8"/>
  <c r="K88" i="8"/>
  <c r="K41" i="8"/>
  <c r="K86" i="8"/>
  <c r="K19" i="8"/>
  <c r="K69" i="8"/>
  <c r="K97" i="8"/>
  <c r="K17" i="8"/>
  <c r="K73" i="8"/>
  <c r="K87" i="8"/>
  <c r="K15" i="8"/>
  <c r="K13" i="8"/>
  <c r="K22" i="8"/>
  <c r="K11" i="8"/>
  <c r="K43" i="8"/>
  <c r="K18" i="8"/>
  <c r="K80" i="8"/>
  <c r="K107" i="8"/>
  <c r="K85" i="8"/>
  <c r="K40" i="8"/>
  <c r="K61" i="8"/>
  <c r="K23" i="8"/>
  <c r="K67" i="8"/>
  <c r="K91" i="8"/>
  <c r="K112" i="8"/>
  <c r="K31" i="8"/>
  <c r="K64" i="8"/>
  <c r="K24" i="8"/>
  <c r="K98" i="8"/>
  <c r="K116" i="8"/>
  <c r="K33" i="8"/>
  <c r="K106" i="8"/>
  <c r="K75" i="8"/>
  <c r="K111" i="8"/>
  <c r="K21" i="8"/>
  <c r="K100" i="8"/>
  <c r="K32" i="8"/>
  <c r="K82" i="8"/>
  <c r="K103" i="8"/>
  <c r="K37" i="8"/>
  <c r="K42" i="8"/>
  <c r="K44" i="8"/>
  <c r="K109" i="8"/>
  <c r="K49" i="8"/>
  <c r="K10" i="8"/>
  <c r="K51" i="8"/>
  <c r="K74" i="8"/>
  <c r="K89" i="8"/>
  <c r="K83" i="8"/>
  <c r="K55" i="8"/>
  <c r="L9" i="8"/>
  <c r="K95" i="8"/>
  <c r="K66" i="8"/>
  <c r="K30" i="8"/>
  <c r="R236" i="16"/>
  <c r="R65" i="16"/>
  <c r="R63" i="16" s="1"/>
  <c r="R223" i="16" s="1"/>
  <c r="R125" i="16"/>
  <c r="R126" i="16"/>
  <c r="P123" i="16"/>
  <c r="P127" i="16" s="1"/>
  <c r="R243" i="16"/>
  <c r="S57" i="16"/>
  <c r="S242" i="16" s="1"/>
  <c r="R182" i="16"/>
  <c r="O128" i="16"/>
  <c r="P223" i="16"/>
  <c r="P71" i="16"/>
  <c r="P55" i="17" s="1"/>
  <c r="P75" i="16"/>
  <c r="Q75" i="16"/>
  <c r="P53" i="17"/>
  <c r="S236" i="16"/>
  <c r="Q71" i="16"/>
  <c r="Q55" i="17" s="1"/>
  <c r="Q115" i="16"/>
  <c r="Q123" i="16"/>
  <c r="Q127" i="16" s="1"/>
  <c r="Q223" i="16"/>
  <c r="P54" i="17"/>
  <c r="P224" i="16"/>
  <c r="P76" i="16"/>
  <c r="P116" i="16"/>
  <c r="P124" i="16"/>
  <c r="P128" i="16" s="1"/>
  <c r="P72" i="16"/>
  <c r="P56" i="17" s="1"/>
  <c r="O144" i="16"/>
  <c r="O145" i="16"/>
  <c r="O146" i="16"/>
  <c r="R124" i="16"/>
  <c r="R128" i="16" s="1"/>
  <c r="R61" i="16"/>
  <c r="R49" i="17" s="1"/>
  <c r="R246" i="16"/>
  <c r="R245" i="16"/>
  <c r="H265" i="12"/>
  <c r="H196" i="12"/>
  <c r="G9" i="12"/>
  <c r="H215" i="12"/>
  <c r="H249" i="12"/>
  <c r="K49" i="17"/>
  <c r="L281" i="16"/>
  <c r="M281" i="16"/>
  <c r="K114" i="16"/>
  <c r="R75" i="16"/>
  <c r="S249" i="12"/>
  <c r="S215" i="12"/>
  <c r="T9" i="12"/>
  <c r="S196" i="12"/>
  <c r="S265" i="12"/>
  <c r="I9" i="16"/>
  <c r="J61" i="16"/>
  <c r="J265" i="16"/>
  <c r="J215" i="16"/>
  <c r="J196" i="16"/>
  <c r="J249" i="16"/>
  <c r="R2" i="17"/>
  <c r="Q46" i="17"/>
  <c r="Q58" i="17"/>
  <c r="R72" i="16"/>
  <c r="R56" i="17" s="1"/>
  <c r="S3" i="33"/>
  <c r="S74" i="16"/>
  <c r="S110" i="16"/>
  <c r="S111" i="16"/>
  <c r="T9" i="16"/>
  <c r="S249" i="16"/>
  <c r="S265" i="16"/>
  <c r="S196" i="16"/>
  <c r="S215" i="16"/>
  <c r="S112" i="16"/>
  <c r="S162" i="16" s="1"/>
  <c r="S60" i="16"/>
  <c r="S280" i="16" s="1"/>
  <c r="S46" i="16"/>
  <c r="S64" i="16"/>
  <c r="R247" i="16"/>
  <c r="R48" i="17"/>
  <c r="R252" i="16"/>
  <c r="R255" i="16" s="1"/>
  <c r="R67" i="16"/>
  <c r="R51" i="17" s="1"/>
  <c r="R150" i="16"/>
  <c r="R68" i="16"/>
  <c r="S7" i="33" s="1"/>
  <c r="R193" i="16"/>
  <c r="R217" i="16"/>
  <c r="R218" i="16"/>
  <c r="R137" i="16"/>
  <c r="R47" i="17" s="1"/>
  <c r="R76" i="16"/>
  <c r="L88" i="8" l="1"/>
  <c r="L107" i="8"/>
  <c r="L83" i="8"/>
  <c r="L58" i="8"/>
  <c r="L23" i="8"/>
  <c r="L84" i="8"/>
  <c r="L62" i="8"/>
  <c r="L32" i="8"/>
  <c r="L100" i="8"/>
  <c r="L72" i="8"/>
  <c r="L39" i="8"/>
  <c r="L87" i="8"/>
  <c r="L59" i="8"/>
  <c r="L30" i="8"/>
  <c r="L50" i="8"/>
  <c r="L114" i="8"/>
  <c r="L61" i="8"/>
  <c r="L86" i="8"/>
  <c r="L21" i="8"/>
  <c r="L67" i="8"/>
  <c r="L112" i="8"/>
  <c r="L46" i="8"/>
  <c r="L19" i="8"/>
  <c r="L63" i="8"/>
  <c r="L38" i="8"/>
  <c r="L52" i="8"/>
  <c r="L75" i="8"/>
  <c r="L113" i="8"/>
  <c r="L93" i="8"/>
  <c r="L74" i="8"/>
  <c r="L27" i="8"/>
  <c r="L92" i="8"/>
  <c r="L35" i="8"/>
  <c r="L31" i="8"/>
  <c r="L57" i="8"/>
  <c r="L26" i="8"/>
  <c r="L77" i="8"/>
  <c r="L20" i="8"/>
  <c r="L73" i="8"/>
  <c r="L90" i="8"/>
  <c r="L115" i="8"/>
  <c r="L45" i="8"/>
  <c r="L55" i="8"/>
  <c r="L78" i="8"/>
  <c r="L68" i="8"/>
  <c r="L16" i="8"/>
  <c r="L34" i="8"/>
  <c r="L41" i="8"/>
  <c r="L109" i="8"/>
  <c r="L97" i="8"/>
  <c r="L64" i="8"/>
  <c r="L29" i="8"/>
  <c r="L80" i="8"/>
  <c r="L37" i="8"/>
  <c r="L103" i="8"/>
  <c r="L53" i="8"/>
  <c r="L22" i="8"/>
  <c r="L69" i="8"/>
  <c r="L18" i="8"/>
  <c r="L49" i="8"/>
  <c r="L44" i="8"/>
  <c r="L95" i="8"/>
  <c r="L105" i="8"/>
  <c r="L25" i="8"/>
  <c r="L43" i="8"/>
  <c r="L70" i="8"/>
  <c r="L102" i="8"/>
  <c r="L94" i="8"/>
  <c r="L91" i="8"/>
  <c r="L71" i="8"/>
  <c r="L65" i="8"/>
  <c r="L99" i="8"/>
  <c r="L110" i="8"/>
  <c r="L14" i="8"/>
  <c r="L76" i="8"/>
  <c r="L81" i="8"/>
  <c r="L17" i="8"/>
  <c r="L42" i="8"/>
  <c r="L104" i="8"/>
  <c r="L66" i="8"/>
  <c r="L54" i="8"/>
  <c r="L82" i="8"/>
  <c r="L98" i="8"/>
  <c r="L106" i="8"/>
  <c r="L15" i="8"/>
  <c r="L79" i="8"/>
  <c r="L10" i="8"/>
  <c r="L108" i="8"/>
  <c r="L101" i="8"/>
  <c r="L51" i="8"/>
  <c r="M9" i="8"/>
  <c r="L48" i="8"/>
  <c r="L56" i="8"/>
  <c r="L11" i="8"/>
  <c r="L36" i="8"/>
  <c r="L13" i="8"/>
  <c r="L24" i="8"/>
  <c r="L12" i="8"/>
  <c r="L28" i="8"/>
  <c r="L89" i="8"/>
  <c r="L96" i="8"/>
  <c r="L40" i="8"/>
  <c r="L116" i="8"/>
  <c r="L111" i="8"/>
  <c r="L33" i="8"/>
  <c r="L85" i="8"/>
  <c r="L47" i="8"/>
  <c r="L60" i="8"/>
  <c r="S126" i="16"/>
  <c r="S125" i="16"/>
  <c r="S65" i="16"/>
  <c r="S63" i="16" s="1"/>
  <c r="S50" i="17" s="1"/>
  <c r="S193" i="16"/>
  <c r="R115" i="16"/>
  <c r="R224" i="16"/>
  <c r="R71" i="16"/>
  <c r="R55" i="17" s="1"/>
  <c r="R50" i="17"/>
  <c r="R123" i="16"/>
  <c r="R127" i="16" s="1"/>
  <c r="R116" i="16"/>
  <c r="S73" i="16"/>
  <c r="S243" i="16"/>
  <c r="T57" i="16"/>
  <c r="T138" i="16" s="1"/>
  <c r="S277" i="16"/>
  <c r="S182" i="16"/>
  <c r="S138" i="16"/>
  <c r="S4" i="33"/>
  <c r="S69" i="16" s="1"/>
  <c r="R136" i="16"/>
  <c r="T236" i="16"/>
  <c r="R114" i="16"/>
  <c r="R281" i="16"/>
  <c r="S61" i="16"/>
  <c r="S49" i="17" s="1"/>
  <c r="S246" i="16"/>
  <c r="S245" i="16"/>
  <c r="R46" i="17"/>
  <c r="R58" i="17"/>
  <c r="S2" i="17"/>
  <c r="T265" i="12"/>
  <c r="T249" i="12"/>
  <c r="T215" i="12"/>
  <c r="T196" i="12"/>
  <c r="U9" i="12"/>
  <c r="G265" i="12"/>
  <c r="G215" i="12"/>
  <c r="G196" i="12"/>
  <c r="G249" i="12"/>
  <c r="F9" i="12"/>
  <c r="S5" i="33"/>
  <c r="S70" i="16" s="1"/>
  <c r="S76" i="16" s="1"/>
  <c r="J49" i="17"/>
  <c r="K281" i="16"/>
  <c r="J114" i="16"/>
  <c r="I196" i="16"/>
  <c r="I61" i="16"/>
  <c r="I265" i="16"/>
  <c r="H9" i="16"/>
  <c r="I215" i="16"/>
  <c r="I249" i="16"/>
  <c r="T265" i="16"/>
  <c r="T196" i="16"/>
  <c r="T112" i="16"/>
  <c r="T162" i="16" s="1"/>
  <c r="U9" i="16"/>
  <c r="T73" i="16"/>
  <c r="T249" i="16"/>
  <c r="T110" i="16"/>
  <c r="T3" i="33"/>
  <c r="T215" i="16"/>
  <c r="T46" i="16"/>
  <c r="T64" i="16"/>
  <c r="T74" i="16"/>
  <c r="T60" i="16"/>
  <c r="T280" i="16" s="1"/>
  <c r="T111" i="16"/>
  <c r="S247" i="16"/>
  <c r="S48" i="17"/>
  <c r="S252" i="16"/>
  <c r="S255" i="16" s="1"/>
  <c r="S8" i="33"/>
  <c r="R52" i="17"/>
  <c r="R66" i="16"/>
  <c r="S217" i="16"/>
  <c r="S137" i="16"/>
  <c r="S47" i="17" s="1"/>
  <c r="S218" i="16"/>
  <c r="S68" i="16"/>
  <c r="T4" i="33" s="1"/>
  <c r="T69" i="16" s="1"/>
  <c r="S67" i="16"/>
  <c r="S51" i="17" s="1"/>
  <c r="S150" i="16"/>
  <c r="M89" i="8" l="1"/>
  <c r="M69" i="8"/>
  <c r="M16" i="8"/>
  <c r="M108" i="8"/>
  <c r="M72" i="8"/>
  <c r="M45" i="8"/>
  <c r="M32" i="8"/>
  <c r="M87" i="8"/>
  <c r="M34" i="8"/>
  <c r="M15" i="8"/>
  <c r="M96" i="8"/>
  <c r="M61" i="8"/>
  <c r="M17" i="8"/>
  <c r="M90" i="8"/>
  <c r="M55" i="8"/>
  <c r="M76" i="8"/>
  <c r="M14" i="8"/>
  <c r="M58" i="8"/>
  <c r="M109" i="8"/>
  <c r="M78" i="8"/>
  <c r="M80" i="8"/>
  <c r="M31" i="8"/>
  <c r="M44" i="8"/>
  <c r="M91" i="8"/>
  <c r="M50" i="8"/>
  <c r="M77" i="8"/>
  <c r="M74" i="8"/>
  <c r="M73" i="8"/>
  <c r="M39" i="8"/>
  <c r="M104" i="8"/>
  <c r="M75" i="8"/>
  <c r="M23" i="8"/>
  <c r="M97" i="8"/>
  <c r="M62" i="8"/>
  <c r="M103" i="8"/>
  <c r="M65" i="8"/>
  <c r="M68" i="8"/>
  <c r="M56" i="8"/>
  <c r="M100" i="8"/>
  <c r="M102" i="8"/>
  <c r="M24" i="8"/>
  <c r="M43" i="8"/>
  <c r="M71" i="8"/>
  <c r="M106" i="8"/>
  <c r="M40" i="8"/>
  <c r="M85" i="8"/>
  <c r="M18" i="8"/>
  <c r="M114" i="8"/>
  <c r="M81" i="8"/>
  <c r="M26" i="8"/>
  <c r="M105" i="8"/>
  <c r="M42" i="8"/>
  <c r="M46" i="8"/>
  <c r="M83" i="8"/>
  <c r="M27" i="8"/>
  <c r="M92" i="8"/>
  <c r="M54" i="8"/>
  <c r="M38" i="8"/>
  <c r="M33" i="8"/>
  <c r="M60" i="8"/>
  <c r="M94" i="8"/>
  <c r="M37" i="8"/>
  <c r="N9" i="8"/>
  <c r="M35" i="8"/>
  <c r="M66" i="8"/>
  <c r="M52" i="8"/>
  <c r="M41" i="8"/>
  <c r="M116" i="8"/>
  <c r="M21" i="8"/>
  <c r="M63" i="8"/>
  <c r="M67" i="8"/>
  <c r="M84" i="8"/>
  <c r="M112" i="8"/>
  <c r="M70" i="8"/>
  <c r="M88" i="8"/>
  <c r="M51" i="8"/>
  <c r="M13" i="8"/>
  <c r="M36" i="8"/>
  <c r="M113" i="8"/>
  <c r="M20" i="8"/>
  <c r="M29" i="8"/>
  <c r="M53" i="8"/>
  <c r="M79" i="8"/>
  <c r="M93" i="8"/>
  <c r="M30" i="8"/>
  <c r="M64" i="8"/>
  <c r="M22" i="8"/>
  <c r="M98" i="8"/>
  <c r="M59" i="8"/>
  <c r="M101" i="8"/>
  <c r="M111" i="8"/>
  <c r="M25" i="8"/>
  <c r="M48" i="8"/>
  <c r="M10" i="8"/>
  <c r="M82" i="8"/>
  <c r="M28" i="8"/>
  <c r="M99" i="8"/>
  <c r="M95" i="8"/>
  <c r="M86" i="8"/>
  <c r="M110" i="8"/>
  <c r="M11" i="8"/>
  <c r="M107" i="8"/>
  <c r="M47" i="8"/>
  <c r="M12" i="8"/>
  <c r="M115" i="8"/>
  <c r="M57" i="8"/>
  <c r="M49" i="8"/>
  <c r="M19" i="8"/>
  <c r="T182" i="16"/>
  <c r="U57" i="16"/>
  <c r="U277" i="16" s="1"/>
  <c r="T65" i="16"/>
  <c r="T63" i="16" s="1"/>
  <c r="T115" i="16" s="1"/>
  <c r="T126" i="16"/>
  <c r="T125" i="16"/>
  <c r="S123" i="16"/>
  <c r="S127" i="16" s="1"/>
  <c r="T243" i="16"/>
  <c r="T277" i="16"/>
  <c r="T242" i="16"/>
  <c r="S71" i="16"/>
  <c r="S55" i="17" s="1"/>
  <c r="S53" i="17"/>
  <c r="S75" i="16"/>
  <c r="S223" i="16"/>
  <c r="S115" i="16"/>
  <c r="U138" i="16"/>
  <c r="U242" i="16"/>
  <c r="U243" i="16"/>
  <c r="U236" i="16"/>
  <c r="U182" i="16"/>
  <c r="V57" i="16"/>
  <c r="S124" i="16"/>
  <c r="S128" i="16" s="1"/>
  <c r="S224" i="16"/>
  <c r="T61" i="16"/>
  <c r="T136" i="16" s="1"/>
  <c r="T246" i="16"/>
  <c r="T245" i="16"/>
  <c r="T123" i="16"/>
  <c r="T127" i="16" s="1"/>
  <c r="S114" i="16"/>
  <c r="S281" i="16"/>
  <c r="S136" i="16"/>
  <c r="S72" i="16"/>
  <c r="S56" i="17" s="1"/>
  <c r="S54" i="17"/>
  <c r="S116" i="16"/>
  <c r="H265" i="16"/>
  <c r="H196" i="16"/>
  <c r="G9" i="16"/>
  <c r="H215" i="16"/>
  <c r="H249" i="16"/>
  <c r="H61" i="16"/>
  <c r="F249" i="12"/>
  <c r="F196" i="12"/>
  <c r="F265" i="12"/>
  <c r="F215" i="12"/>
  <c r="J281" i="16"/>
  <c r="I49" i="17"/>
  <c r="I114" i="16"/>
  <c r="S46" i="17"/>
  <c r="S58" i="17"/>
  <c r="T2" i="17"/>
  <c r="U265" i="12"/>
  <c r="U215" i="12"/>
  <c r="U196" i="12"/>
  <c r="V9" i="12"/>
  <c r="U249" i="12"/>
  <c r="T50" i="17"/>
  <c r="T53" i="17"/>
  <c r="T75" i="16"/>
  <c r="T48" i="17"/>
  <c r="T247" i="16"/>
  <c r="T252" i="16"/>
  <c r="T255" i="16" s="1"/>
  <c r="T137" i="16"/>
  <c r="T47" i="17" s="1"/>
  <c r="T218" i="16"/>
  <c r="T217" i="16"/>
  <c r="T67" i="16"/>
  <c r="T51" i="17" s="1"/>
  <c r="T150" i="16"/>
  <c r="T68" i="16"/>
  <c r="U8" i="33" s="1"/>
  <c r="T7" i="33"/>
  <c r="T5" i="33"/>
  <c r="T70" i="16" s="1"/>
  <c r="T224" i="16" s="1"/>
  <c r="S52" i="17"/>
  <c r="S66" i="16"/>
  <c r="T193" i="16"/>
  <c r="T8" i="33"/>
  <c r="U46" i="16"/>
  <c r="U73" i="16"/>
  <c r="U112" i="16"/>
  <c r="U162" i="16" s="1"/>
  <c r="U3" i="33"/>
  <c r="U60" i="16"/>
  <c r="U280" i="16" s="1"/>
  <c r="U111" i="16"/>
  <c r="U64" i="16"/>
  <c r="V9" i="16"/>
  <c r="U74" i="16"/>
  <c r="U110" i="16"/>
  <c r="U196" i="16"/>
  <c r="U265" i="16"/>
  <c r="U215" i="16"/>
  <c r="U249" i="16"/>
  <c r="U61" i="16"/>
  <c r="U281" i="16" s="1"/>
  <c r="N103" i="8" l="1"/>
  <c r="N50" i="8"/>
  <c r="N10" i="8"/>
  <c r="N97" i="8"/>
  <c r="N76" i="8"/>
  <c r="N45" i="8"/>
  <c r="N105" i="8"/>
  <c r="N92" i="8"/>
  <c r="N40" i="8"/>
  <c r="N12" i="8"/>
  <c r="N95" i="8"/>
  <c r="N67" i="8"/>
  <c r="N24" i="8"/>
  <c r="N109" i="8"/>
  <c r="N53" i="8"/>
  <c r="N86" i="8"/>
  <c r="N23" i="8"/>
  <c r="N66" i="8"/>
  <c r="N104" i="8"/>
  <c r="N18" i="8"/>
  <c r="N57" i="8"/>
  <c r="N98" i="8"/>
  <c r="N41" i="8"/>
  <c r="N80" i="8"/>
  <c r="N56" i="8"/>
  <c r="N28" i="8"/>
  <c r="N39" i="8"/>
  <c r="N79" i="8"/>
  <c r="N64" i="8"/>
  <c r="N113" i="8"/>
  <c r="N77" i="8"/>
  <c r="N15" i="8"/>
  <c r="N96" i="8"/>
  <c r="N42" i="8"/>
  <c r="N11" i="8"/>
  <c r="N90" i="8"/>
  <c r="N36" i="8"/>
  <c r="N100" i="8"/>
  <c r="N33" i="8"/>
  <c r="N47" i="8"/>
  <c r="N54" i="8"/>
  <c r="N74" i="8"/>
  <c r="N81" i="8"/>
  <c r="N59" i="8"/>
  <c r="N51" i="8"/>
  <c r="N62" i="8"/>
  <c r="N13" i="8"/>
  <c r="N68" i="8"/>
  <c r="N111" i="8"/>
  <c r="N34" i="8"/>
  <c r="N19" i="8"/>
  <c r="N101" i="8"/>
  <c r="N106" i="8"/>
  <c r="N84" i="8"/>
  <c r="N49" i="8"/>
  <c r="N27" i="8"/>
  <c r="N75" i="8"/>
  <c r="N55" i="8"/>
  <c r="N110" i="8"/>
  <c r="N116" i="8"/>
  <c r="N60" i="8"/>
  <c r="N115" i="8"/>
  <c r="N48" i="8"/>
  <c r="N108" i="8"/>
  <c r="N44" i="8"/>
  <c r="N112" i="8"/>
  <c r="N32" i="8"/>
  <c r="N71" i="8"/>
  <c r="N63" i="8"/>
  <c r="N72" i="8"/>
  <c r="N52" i="8"/>
  <c r="N25" i="8"/>
  <c r="N93" i="8"/>
  <c r="N65" i="8"/>
  <c r="N16" i="8"/>
  <c r="N85" i="8"/>
  <c r="N99" i="8"/>
  <c r="N29" i="8"/>
  <c r="N107" i="8"/>
  <c r="N46" i="8"/>
  <c r="N94" i="8"/>
  <c r="N30" i="8"/>
  <c r="N89" i="8"/>
  <c r="N38" i="8"/>
  <c r="N58" i="8"/>
  <c r="N69" i="8"/>
  <c r="N26" i="8"/>
  <c r="N14" i="8"/>
  <c r="N37" i="8"/>
  <c r="O9" i="8"/>
  <c r="N88" i="8"/>
  <c r="N114" i="8"/>
  <c r="N20" i="8"/>
  <c r="N21" i="8"/>
  <c r="N91" i="8"/>
  <c r="N102" i="8"/>
  <c r="N83" i="8"/>
  <c r="N73" i="8"/>
  <c r="N31" i="8"/>
  <c r="N61" i="8"/>
  <c r="N35" i="8"/>
  <c r="N43" i="8"/>
  <c r="N82" i="8"/>
  <c r="N87" i="8"/>
  <c r="N17" i="8"/>
  <c r="N78" i="8"/>
  <c r="N70" i="8"/>
  <c r="N22" i="8"/>
  <c r="T223" i="16"/>
  <c r="T49" i="17"/>
  <c r="U125" i="16"/>
  <c r="U126" i="16"/>
  <c r="U65" i="16"/>
  <c r="U63" i="16" s="1"/>
  <c r="T71" i="16"/>
  <c r="T55" i="17" s="1"/>
  <c r="U7" i="33"/>
  <c r="W57" i="16"/>
  <c r="W277" i="16" s="1"/>
  <c r="V242" i="16"/>
  <c r="V236" i="16"/>
  <c r="V182" i="16"/>
  <c r="V243" i="16"/>
  <c r="V277" i="16"/>
  <c r="V138" i="16"/>
  <c r="U4" i="33"/>
  <c r="U69" i="16" s="1"/>
  <c r="U5" i="33"/>
  <c r="U70" i="16" s="1"/>
  <c r="U124" i="16" s="1"/>
  <c r="T124" i="16"/>
  <c r="T128" i="16" s="1"/>
  <c r="U246" i="16"/>
  <c r="U245" i="16"/>
  <c r="U50" i="17"/>
  <c r="T114" i="16"/>
  <c r="T281" i="16"/>
  <c r="H114" i="16"/>
  <c r="H49" i="17"/>
  <c r="I281" i="16"/>
  <c r="G249" i="16"/>
  <c r="F9" i="16"/>
  <c r="G196" i="16"/>
  <c r="G265" i="16"/>
  <c r="G215" i="16"/>
  <c r="G61" i="16"/>
  <c r="V265" i="12"/>
  <c r="V249" i="12"/>
  <c r="V215" i="12"/>
  <c r="W9" i="12"/>
  <c r="V196" i="12"/>
  <c r="T58" i="17"/>
  <c r="T46" i="17"/>
  <c r="U2" i="17"/>
  <c r="U48" i="17"/>
  <c r="U247" i="16"/>
  <c r="U252" i="16"/>
  <c r="U255" i="16" s="1"/>
  <c r="U193" i="16"/>
  <c r="V3" i="33"/>
  <c r="V73" i="16"/>
  <c r="V74" i="16"/>
  <c r="V111" i="16"/>
  <c r="V7" i="33"/>
  <c r="V249" i="16"/>
  <c r="V64" i="16"/>
  <c r="V196" i="16"/>
  <c r="V112" i="16"/>
  <c r="V162" i="16" s="1"/>
  <c r="V110" i="16"/>
  <c r="W9" i="16"/>
  <c r="V46" i="16"/>
  <c r="V60" i="16"/>
  <c r="V215" i="16"/>
  <c r="V265" i="16"/>
  <c r="U49" i="17"/>
  <c r="U136" i="16"/>
  <c r="U67" i="16"/>
  <c r="U51" i="17" s="1"/>
  <c r="U68" i="16"/>
  <c r="V4" i="33" s="1"/>
  <c r="V69" i="16" s="1"/>
  <c r="U150" i="16"/>
  <c r="U114" i="16"/>
  <c r="T54" i="17"/>
  <c r="T76" i="16"/>
  <c r="T72" i="16"/>
  <c r="T56" i="17" s="1"/>
  <c r="U137" i="16"/>
  <c r="U47" i="17" s="1"/>
  <c r="U217" i="16"/>
  <c r="U218" i="16"/>
  <c r="T52" i="17"/>
  <c r="T66" i="16"/>
  <c r="T116" i="16"/>
  <c r="U128" i="16" l="1"/>
  <c r="O71" i="8"/>
  <c r="O100" i="8"/>
  <c r="O88" i="8"/>
  <c r="O93" i="8"/>
  <c r="O39" i="8"/>
  <c r="O44" i="8"/>
  <c r="O81" i="8"/>
  <c r="O31" i="8"/>
  <c r="O12" i="8"/>
  <c r="O78" i="8"/>
  <c r="O83" i="8"/>
  <c r="P9" i="8"/>
  <c r="O82" i="8"/>
  <c r="O102" i="8"/>
  <c r="O96" i="8"/>
  <c r="O114" i="8"/>
  <c r="O59" i="8"/>
  <c r="O26" i="8"/>
  <c r="O69" i="8"/>
  <c r="O13" i="8"/>
  <c r="O72" i="8"/>
  <c r="O43" i="8"/>
  <c r="O85" i="8"/>
  <c r="O46" i="8"/>
  <c r="O37" i="8"/>
  <c r="O77" i="8"/>
  <c r="O61" i="8"/>
  <c r="O36" i="8"/>
  <c r="O35" i="8"/>
  <c r="O53" i="8"/>
  <c r="O68" i="8"/>
  <c r="O66" i="8"/>
  <c r="O55" i="8"/>
  <c r="O109" i="8"/>
  <c r="O84" i="8"/>
  <c r="O91" i="8"/>
  <c r="O10" i="8"/>
  <c r="O73" i="8"/>
  <c r="O106" i="8"/>
  <c r="O94" i="8"/>
  <c r="O25" i="8"/>
  <c r="O113" i="8"/>
  <c r="O57" i="8"/>
  <c r="O104" i="8"/>
  <c r="O87" i="8"/>
  <c r="O58" i="8"/>
  <c r="O79" i="8"/>
  <c r="O30" i="8"/>
  <c r="O116" i="8"/>
  <c r="O65" i="8"/>
  <c r="O24" i="8"/>
  <c r="O108" i="8"/>
  <c r="O18" i="8"/>
  <c r="O14" i="8"/>
  <c r="O47" i="8"/>
  <c r="O51" i="8"/>
  <c r="O45" i="8"/>
  <c r="O29" i="8"/>
  <c r="O11" i="8"/>
  <c r="O42" i="8"/>
  <c r="O101" i="8"/>
  <c r="O76" i="8"/>
  <c r="O80" i="8"/>
  <c r="O75" i="8"/>
  <c r="O23" i="8"/>
  <c r="O103" i="8"/>
  <c r="O17" i="8"/>
  <c r="O107" i="8"/>
  <c r="O48" i="8"/>
  <c r="O110" i="8"/>
  <c r="O52" i="8"/>
  <c r="O38" i="8"/>
  <c r="O97" i="8"/>
  <c r="O50" i="8"/>
  <c r="O22" i="8"/>
  <c r="O70" i="8"/>
  <c r="O105" i="8"/>
  <c r="O28" i="8"/>
  <c r="O56" i="8"/>
  <c r="O32" i="8"/>
  <c r="O19" i="8"/>
  <c r="O115" i="8"/>
  <c r="O49" i="8"/>
  <c r="O41" i="8"/>
  <c r="O54" i="8"/>
  <c r="O86" i="8"/>
  <c r="O34" i="8"/>
  <c r="O63" i="8"/>
  <c r="O89" i="8"/>
  <c r="O99" i="8"/>
  <c r="O90" i="8"/>
  <c r="O21" i="8"/>
  <c r="O60" i="8"/>
  <c r="O92" i="8"/>
  <c r="O62" i="8"/>
  <c r="O33" i="8"/>
  <c r="O112" i="8"/>
  <c r="O74" i="8"/>
  <c r="O98" i="8"/>
  <c r="O64" i="8"/>
  <c r="O95" i="8"/>
  <c r="O16" i="8"/>
  <c r="O27" i="8"/>
  <c r="O67" i="8"/>
  <c r="O111" i="8"/>
  <c r="O15" i="8"/>
  <c r="O20" i="8"/>
  <c r="O40" i="8"/>
  <c r="V126" i="16"/>
  <c r="V125" i="16"/>
  <c r="U223" i="16"/>
  <c r="W242" i="16"/>
  <c r="W243" i="16"/>
  <c r="X57" i="16"/>
  <c r="W236" i="16"/>
  <c r="W182" i="16"/>
  <c r="W138" i="16"/>
  <c r="U53" i="17"/>
  <c r="U123" i="16"/>
  <c r="U127" i="16" s="1"/>
  <c r="U75" i="16"/>
  <c r="U116" i="16"/>
  <c r="U54" i="17"/>
  <c r="U224" i="16"/>
  <c r="U76" i="16"/>
  <c r="U71" i="16"/>
  <c r="U55" i="17" s="1"/>
  <c r="U72" i="16"/>
  <c r="U56" i="17" s="1"/>
  <c r="U115" i="16"/>
  <c r="V245" i="16"/>
  <c r="V246" i="16"/>
  <c r="V280" i="16"/>
  <c r="U58" i="17"/>
  <c r="V2" i="17"/>
  <c r="U46" i="17"/>
  <c r="W265" i="12"/>
  <c r="W249" i="12"/>
  <c r="W215" i="12"/>
  <c r="X9" i="12"/>
  <c r="W196" i="12"/>
  <c r="H281" i="16"/>
  <c r="G114" i="16"/>
  <c r="G49" i="17"/>
  <c r="F249" i="16"/>
  <c r="F215" i="16"/>
  <c r="F61" i="16"/>
  <c r="F265" i="16"/>
  <c r="F196" i="16"/>
  <c r="V8" i="33"/>
  <c r="V53" i="17"/>
  <c r="V75" i="16"/>
  <c r="W3" i="33"/>
  <c r="W196" i="16"/>
  <c r="W265" i="16"/>
  <c r="X9" i="16"/>
  <c r="W74" i="16"/>
  <c r="W110" i="16"/>
  <c r="W249" i="16"/>
  <c r="W215" i="16"/>
  <c r="W112" i="16"/>
  <c r="W162" i="16" s="1"/>
  <c r="W73" i="16"/>
  <c r="W60" i="16"/>
  <c r="W252" i="16" s="1"/>
  <c r="W255" i="16" s="1"/>
  <c r="W64" i="16"/>
  <c r="W111" i="16"/>
  <c r="W46" i="16"/>
  <c r="V150" i="16"/>
  <c r="V68" i="16"/>
  <c r="W7" i="33" s="1"/>
  <c r="V67" i="16"/>
  <c r="V51" i="17" s="1"/>
  <c r="V218" i="16"/>
  <c r="V137" i="16"/>
  <c r="V47" i="17" s="1"/>
  <c r="V217" i="16"/>
  <c r="V193" i="16"/>
  <c r="V61" i="16"/>
  <c r="V281" i="16" s="1"/>
  <c r="V252" i="16"/>
  <c r="V255" i="16" s="1"/>
  <c r="V5" i="33"/>
  <c r="V70" i="16" s="1"/>
  <c r="V54" i="17" s="1"/>
  <c r="V247" i="16"/>
  <c r="V48" i="17"/>
  <c r="U52" i="17"/>
  <c r="U66" i="16"/>
  <c r="V65" i="16"/>
  <c r="V63" i="16" s="1"/>
  <c r="P93" i="8" l="1"/>
  <c r="P40" i="8"/>
  <c r="P49" i="8"/>
  <c r="P106" i="8"/>
  <c r="P61" i="8"/>
  <c r="P68" i="8"/>
  <c r="P19" i="8"/>
  <c r="P98" i="8"/>
  <c r="P53" i="8"/>
  <c r="P13" i="8"/>
  <c r="P110" i="8"/>
  <c r="P79" i="8"/>
  <c r="P41" i="8"/>
  <c r="P50" i="8"/>
  <c r="P80" i="8"/>
  <c r="P39" i="8"/>
  <c r="P33" i="8"/>
  <c r="P91" i="8"/>
  <c r="P78" i="8"/>
  <c r="P114" i="8"/>
  <c r="P20" i="8"/>
  <c r="P16" i="8"/>
  <c r="P48" i="8"/>
  <c r="P65" i="8"/>
  <c r="P31" i="8"/>
  <c r="P35" i="8"/>
  <c r="P22" i="8"/>
  <c r="P112" i="8"/>
  <c r="P77" i="8"/>
  <c r="P38" i="8"/>
  <c r="P36" i="8"/>
  <c r="P94" i="8"/>
  <c r="P62" i="8"/>
  <c r="P15" i="8"/>
  <c r="P116" i="8"/>
  <c r="P83" i="8"/>
  <c r="P70" i="8"/>
  <c r="P18" i="8"/>
  <c r="P101" i="8"/>
  <c r="P63" i="8"/>
  <c r="P52" i="8"/>
  <c r="P115" i="8"/>
  <c r="P88" i="8"/>
  <c r="P45" i="8"/>
  <c r="P25" i="8"/>
  <c r="P60" i="8"/>
  <c r="P73" i="8"/>
  <c r="P103" i="8"/>
  <c r="P89" i="8"/>
  <c r="P12" i="8"/>
  <c r="P42" i="8"/>
  <c r="P96" i="8"/>
  <c r="P74" i="8"/>
  <c r="P10" i="8"/>
  <c r="P107" i="8"/>
  <c r="P69" i="8"/>
  <c r="P44" i="8"/>
  <c r="P11" i="8"/>
  <c r="P90" i="8"/>
  <c r="P32" i="8"/>
  <c r="P21" i="8"/>
  <c r="P113" i="8"/>
  <c r="P104" i="8"/>
  <c r="P56" i="8"/>
  <c r="P17" i="8"/>
  <c r="P81" i="8"/>
  <c r="P47" i="8"/>
  <c r="P37" i="8"/>
  <c r="P97" i="8"/>
  <c r="P64" i="8"/>
  <c r="P24" i="8"/>
  <c r="P108" i="8"/>
  <c r="P14" i="8"/>
  <c r="P58" i="8"/>
  <c r="P59" i="8"/>
  <c r="P82" i="8"/>
  <c r="P105" i="8"/>
  <c r="P29" i="8"/>
  <c r="P46" i="8"/>
  <c r="P34" i="8"/>
  <c r="P75" i="8"/>
  <c r="P111" i="8"/>
  <c r="P102" i="8"/>
  <c r="P76" i="8"/>
  <c r="P67" i="8"/>
  <c r="P28" i="8"/>
  <c r="P66" i="8"/>
  <c r="P95" i="8"/>
  <c r="P87" i="8"/>
  <c r="P72" i="8"/>
  <c r="P51" i="8"/>
  <c r="P43" i="8"/>
  <c r="P55" i="8"/>
  <c r="P92" i="8"/>
  <c r="P71" i="8"/>
  <c r="P30" i="8"/>
  <c r="Q9" i="8"/>
  <c r="P27" i="8"/>
  <c r="P84" i="8"/>
  <c r="P57" i="8"/>
  <c r="P85" i="8"/>
  <c r="P26" i="8"/>
  <c r="P86" i="8"/>
  <c r="P109" i="8"/>
  <c r="P54" i="8"/>
  <c r="P99" i="8"/>
  <c r="P23" i="8"/>
  <c r="P100" i="8"/>
  <c r="W65" i="16"/>
  <c r="W63" i="16" s="1"/>
  <c r="W50" i="17" s="1"/>
  <c r="W126" i="16"/>
  <c r="W125" i="16"/>
  <c r="X242" i="16"/>
  <c r="Y57" i="16"/>
  <c r="Y138" i="16" s="1"/>
  <c r="X182" i="16"/>
  <c r="X243" i="16"/>
  <c r="X236" i="16"/>
  <c r="X138" i="16"/>
  <c r="X277" i="16"/>
  <c r="W8" i="33"/>
  <c r="W5" i="33"/>
  <c r="W70" i="16" s="1"/>
  <c r="W54" i="17" s="1"/>
  <c r="W280" i="16"/>
  <c r="W61" i="16"/>
  <c r="W114" i="16" s="1"/>
  <c r="W245" i="16"/>
  <c r="W246" i="16"/>
  <c r="V224" i="16"/>
  <c r="V123" i="16"/>
  <c r="V127" i="16" s="1"/>
  <c r="V223" i="16"/>
  <c r="V124" i="16"/>
  <c r="V128" i="16" s="1"/>
  <c r="F49" i="17"/>
  <c r="F114" i="16"/>
  <c r="G281" i="16"/>
  <c r="V58" i="17"/>
  <c r="V46" i="17"/>
  <c r="W2" i="17"/>
  <c r="X196" i="12"/>
  <c r="X265" i="12"/>
  <c r="X249" i="12"/>
  <c r="Y9" i="12"/>
  <c r="X215" i="12"/>
  <c r="V50" i="17"/>
  <c r="V116" i="16"/>
  <c r="V115" i="16"/>
  <c r="V72" i="16"/>
  <c r="V56" i="17" s="1"/>
  <c r="V71" i="16"/>
  <c r="V55" i="17" s="1"/>
  <c r="V52" i="17"/>
  <c r="V66" i="16"/>
  <c r="W67" i="16"/>
  <c r="W51" i="17" s="1"/>
  <c r="W68" i="16"/>
  <c r="X8" i="33" s="1"/>
  <c r="W150" i="16"/>
  <c r="W193" i="16"/>
  <c r="W4" i="33"/>
  <c r="W69" i="16" s="1"/>
  <c r="W218" i="16"/>
  <c r="W217" i="16"/>
  <c r="W137" i="16"/>
  <c r="W47" i="17" s="1"/>
  <c r="W48" i="17"/>
  <c r="W247" i="16"/>
  <c r="V49" i="17"/>
  <c r="V136" i="16"/>
  <c r="V114" i="16"/>
  <c r="X64" i="16"/>
  <c r="X196" i="16"/>
  <c r="X74" i="16"/>
  <c r="X112" i="16"/>
  <c r="X162" i="16" s="1"/>
  <c r="Y9" i="16"/>
  <c r="X110" i="16"/>
  <c r="X73" i="16"/>
  <c r="X215" i="16"/>
  <c r="X3" i="33"/>
  <c r="X249" i="16"/>
  <c r="X111" i="16"/>
  <c r="X60" i="16"/>
  <c r="X265" i="16"/>
  <c r="X46" i="16"/>
  <c r="V76" i="16"/>
  <c r="Q99" i="8" l="1"/>
  <c r="Q56" i="8"/>
  <c r="Q28" i="8"/>
  <c r="Q95" i="8"/>
  <c r="Q90" i="8"/>
  <c r="Q50" i="8"/>
  <c r="Q41" i="8"/>
  <c r="Q81" i="8"/>
  <c r="Q39" i="8"/>
  <c r="R9" i="8"/>
  <c r="Q111" i="8"/>
  <c r="Q86" i="8"/>
  <c r="Q69" i="8"/>
  <c r="Q106" i="8"/>
  <c r="Q61" i="8"/>
  <c r="Q84" i="8"/>
  <c r="Q33" i="8"/>
  <c r="Q89" i="8"/>
  <c r="Q16" i="8"/>
  <c r="Q54" i="8"/>
  <c r="Q93" i="8"/>
  <c r="Q42" i="8"/>
  <c r="Q115" i="8"/>
  <c r="Q58" i="8"/>
  <c r="Q82" i="8"/>
  <c r="Q46" i="8"/>
  <c r="Q102" i="8"/>
  <c r="Q110" i="8"/>
  <c r="Q77" i="8"/>
  <c r="Q62" i="8"/>
  <c r="Q11" i="8"/>
  <c r="Q98" i="8"/>
  <c r="Q72" i="8"/>
  <c r="Q22" i="8"/>
  <c r="Q114" i="8"/>
  <c r="Q79" i="8"/>
  <c r="Q37" i="8"/>
  <c r="Q48" i="8"/>
  <c r="Q101" i="8"/>
  <c r="Q65" i="8"/>
  <c r="Q21" i="8"/>
  <c r="Q92" i="8"/>
  <c r="Q13" i="8"/>
  <c r="Q85" i="8"/>
  <c r="Q40" i="8"/>
  <c r="Q57" i="8"/>
  <c r="Q96" i="8"/>
  <c r="Q52" i="8"/>
  <c r="Q78" i="8"/>
  <c r="Q34" i="8"/>
  <c r="Q71" i="8"/>
  <c r="Q19" i="8"/>
  <c r="Q35" i="8"/>
  <c r="Q30" i="8"/>
  <c r="Q105" i="8"/>
  <c r="Q68" i="8"/>
  <c r="Q43" i="8"/>
  <c r="Q26" i="8"/>
  <c r="Q88" i="8"/>
  <c r="Q47" i="8"/>
  <c r="Q12" i="8"/>
  <c r="Q94" i="8"/>
  <c r="Q63" i="8"/>
  <c r="Q49" i="8"/>
  <c r="Q24" i="8"/>
  <c r="Q80" i="8"/>
  <c r="Q31" i="8"/>
  <c r="Q67" i="8"/>
  <c r="Q97" i="8"/>
  <c r="Q18" i="8"/>
  <c r="Q59" i="8"/>
  <c r="Q112" i="8"/>
  <c r="Q44" i="8"/>
  <c r="Q91" i="8"/>
  <c r="Q20" i="8"/>
  <c r="Q74" i="8"/>
  <c r="Q73" i="8"/>
  <c r="Q27" i="8"/>
  <c r="Q104" i="8"/>
  <c r="Q87" i="8"/>
  <c r="Q25" i="8"/>
  <c r="Q100" i="8"/>
  <c r="Q76" i="8"/>
  <c r="Q70" i="8"/>
  <c r="Q29" i="8"/>
  <c r="Q55" i="8"/>
  <c r="Q10" i="8"/>
  <c r="Q38" i="8"/>
  <c r="Q53" i="8"/>
  <c r="Q45" i="8"/>
  <c r="Q14" i="8"/>
  <c r="Q36" i="8"/>
  <c r="Q83" i="8"/>
  <c r="Q66" i="8"/>
  <c r="Q51" i="8"/>
  <c r="Q23" i="8"/>
  <c r="Q17" i="8"/>
  <c r="Q107" i="8"/>
  <c r="Q64" i="8"/>
  <c r="Q32" i="8"/>
  <c r="Q15" i="8"/>
  <c r="Q103" i="8"/>
  <c r="Q75" i="8"/>
  <c r="Q113" i="8"/>
  <c r="Q108" i="8"/>
  <c r="Q60" i="8"/>
  <c r="Q109" i="8"/>
  <c r="Q116" i="8"/>
  <c r="X126" i="16"/>
  <c r="X125" i="16"/>
  <c r="X65" i="16"/>
  <c r="X63" i="16" s="1"/>
  <c r="W71" i="16"/>
  <c r="W55" i="17" s="1"/>
  <c r="W72" i="16"/>
  <c r="W56" i="17" s="1"/>
  <c r="W116" i="16"/>
  <c r="W49" i="17"/>
  <c r="W281" i="16"/>
  <c r="W136" i="16"/>
  <c r="Y277" i="16"/>
  <c r="Z57" i="16"/>
  <c r="Z138" i="16" s="1"/>
  <c r="Y182" i="16"/>
  <c r="Y242" i="16"/>
  <c r="Y236" i="16"/>
  <c r="Y243" i="16"/>
  <c r="W76" i="16"/>
  <c r="W224" i="16"/>
  <c r="W124" i="16"/>
  <c r="W128" i="16" s="1"/>
  <c r="W123" i="16"/>
  <c r="W127" i="16" s="1"/>
  <c r="W223" i="16"/>
  <c r="X50" i="17"/>
  <c r="X245" i="16"/>
  <c r="X246" i="16"/>
  <c r="X280" i="16"/>
  <c r="Y249" i="12"/>
  <c r="Y215" i="12"/>
  <c r="Y196" i="12"/>
  <c r="Z9" i="12"/>
  <c r="Y265" i="12"/>
  <c r="X2" i="17"/>
  <c r="W46" i="17"/>
  <c r="W58" i="17"/>
  <c r="X5" i="33"/>
  <c r="X70" i="16" s="1"/>
  <c r="X54" i="17" s="1"/>
  <c r="X4" i="33"/>
  <c r="X69" i="16" s="1"/>
  <c r="X71" i="16" s="1"/>
  <c r="X55" i="17" s="1"/>
  <c r="X7" i="33"/>
  <c r="W115" i="16"/>
  <c r="X193" i="16"/>
  <c r="X247" i="16"/>
  <c r="X48" i="17"/>
  <c r="X252" i="16"/>
  <c r="X255" i="16" s="1"/>
  <c r="Z9" i="16"/>
  <c r="Y64" i="16"/>
  <c r="Y265" i="16"/>
  <c r="Y3" i="33"/>
  <c r="Y249" i="16"/>
  <c r="Y112" i="16"/>
  <c r="Y162" i="16" s="1"/>
  <c r="Y215" i="16"/>
  <c r="Y110" i="16"/>
  <c r="Y111" i="16"/>
  <c r="Y196" i="16"/>
  <c r="Y73" i="16"/>
  <c r="Y74" i="16"/>
  <c r="Y46" i="16"/>
  <c r="Y60" i="16"/>
  <c r="W52" i="17"/>
  <c r="W66" i="16"/>
  <c r="X137" i="16"/>
  <c r="X47" i="17" s="1"/>
  <c r="X218" i="16"/>
  <c r="X217" i="16"/>
  <c r="X67" i="16"/>
  <c r="X51" i="17" s="1"/>
  <c r="X68" i="16"/>
  <c r="Y7" i="33" s="1"/>
  <c r="X150" i="16"/>
  <c r="W53" i="17"/>
  <c r="W75" i="16"/>
  <c r="X61" i="16"/>
  <c r="X281" i="16" s="1"/>
  <c r="R89" i="8" l="1"/>
  <c r="R57" i="8"/>
  <c r="R34" i="8"/>
  <c r="R95" i="8"/>
  <c r="R96" i="8"/>
  <c r="R14" i="8"/>
  <c r="R15" i="8"/>
  <c r="R77" i="8"/>
  <c r="R55" i="8"/>
  <c r="R11" i="8"/>
  <c r="R93" i="8"/>
  <c r="R73" i="8"/>
  <c r="R43" i="8"/>
  <c r="R103" i="8"/>
  <c r="R31" i="8"/>
  <c r="R70" i="8"/>
  <c r="R92" i="8"/>
  <c r="R13" i="8"/>
  <c r="R86" i="8"/>
  <c r="R41" i="8"/>
  <c r="R65" i="8"/>
  <c r="R82" i="8"/>
  <c r="R42" i="8"/>
  <c r="R67" i="8"/>
  <c r="R27" i="8"/>
  <c r="R47" i="8"/>
  <c r="R63" i="8"/>
  <c r="R116" i="8"/>
  <c r="R88" i="8"/>
  <c r="R30" i="8"/>
  <c r="R50" i="8"/>
  <c r="R101" i="8"/>
  <c r="R61" i="8"/>
  <c r="R33" i="8"/>
  <c r="R107" i="8"/>
  <c r="R98" i="8"/>
  <c r="R37" i="8"/>
  <c r="R24" i="8"/>
  <c r="R97" i="8"/>
  <c r="R85" i="8"/>
  <c r="R28" i="8"/>
  <c r="R79" i="8"/>
  <c r="R26" i="8"/>
  <c r="R46" i="8"/>
  <c r="R104" i="8"/>
  <c r="R10" i="8"/>
  <c r="R52" i="8"/>
  <c r="R113" i="8"/>
  <c r="R36" i="8"/>
  <c r="R56" i="8"/>
  <c r="R17" i="8"/>
  <c r="R12" i="8"/>
  <c r="R22" i="8"/>
  <c r="R23" i="8"/>
  <c r="R111" i="8"/>
  <c r="R59" i="8"/>
  <c r="R48" i="8"/>
  <c r="R68" i="8"/>
  <c r="R84" i="8"/>
  <c r="R66" i="8"/>
  <c r="R19" i="8"/>
  <c r="R94" i="8"/>
  <c r="R91" i="8"/>
  <c r="R54" i="8"/>
  <c r="S9" i="8"/>
  <c r="R76" i="8"/>
  <c r="R74" i="8"/>
  <c r="R40" i="8"/>
  <c r="R71" i="8"/>
  <c r="R100" i="8"/>
  <c r="R21" i="8"/>
  <c r="R62" i="8"/>
  <c r="R109" i="8"/>
  <c r="R51" i="8"/>
  <c r="R83" i="8"/>
  <c r="R20" i="8"/>
  <c r="R35" i="8"/>
  <c r="R87" i="8"/>
  <c r="R112" i="8"/>
  <c r="R105" i="8"/>
  <c r="R108" i="8"/>
  <c r="R58" i="8"/>
  <c r="R45" i="8"/>
  <c r="R32" i="8"/>
  <c r="R16" i="8"/>
  <c r="R38" i="8"/>
  <c r="R25" i="8"/>
  <c r="R78" i="8"/>
  <c r="R49" i="8"/>
  <c r="R29" i="8"/>
  <c r="R106" i="8"/>
  <c r="R53" i="8"/>
  <c r="R102" i="8"/>
  <c r="R90" i="8"/>
  <c r="R72" i="8"/>
  <c r="R114" i="8"/>
  <c r="R99" i="8"/>
  <c r="R81" i="8"/>
  <c r="R75" i="8"/>
  <c r="R39" i="8"/>
  <c r="R69" i="8"/>
  <c r="R115" i="8"/>
  <c r="R18" i="8"/>
  <c r="R110" i="8"/>
  <c r="R80" i="8"/>
  <c r="R60" i="8"/>
  <c r="R64" i="8"/>
  <c r="R44" i="8"/>
  <c r="Y126" i="16"/>
  <c r="Y125" i="16"/>
  <c r="Y193" i="16"/>
  <c r="Z277" i="16"/>
  <c r="Z236" i="16"/>
  <c r="Z182" i="16"/>
  <c r="Z243" i="16"/>
  <c r="AA57" i="16"/>
  <c r="X124" i="16"/>
  <c r="X128" i="16" s="1"/>
  <c r="X223" i="16"/>
  <c r="X224" i="16"/>
  <c r="X123" i="16"/>
  <c r="X127" i="16" s="1"/>
  <c r="Y245" i="16"/>
  <c r="Y246" i="16"/>
  <c r="Y280" i="16"/>
  <c r="X53" i="17"/>
  <c r="X115" i="16"/>
  <c r="X58" i="17"/>
  <c r="X46" i="17"/>
  <c r="Y2" i="17"/>
  <c r="X75" i="16"/>
  <c r="X76" i="16"/>
  <c r="Z196" i="12"/>
  <c r="Z265" i="12"/>
  <c r="AA9" i="12"/>
  <c r="Z249" i="12"/>
  <c r="Z215" i="12"/>
  <c r="X116" i="16"/>
  <c r="X72" i="16"/>
  <c r="X56" i="17" s="1"/>
  <c r="X52" i="17"/>
  <c r="X66" i="16"/>
  <c r="X136" i="16"/>
  <c r="X49" i="17"/>
  <c r="X114" i="16"/>
  <c r="Y137" i="16"/>
  <c r="Y47" i="17" s="1"/>
  <c r="Y218" i="16"/>
  <c r="Y217" i="16"/>
  <c r="Y247" i="16"/>
  <c r="Y48" i="17"/>
  <c r="Y252" i="16"/>
  <c r="Y255" i="16" s="1"/>
  <c r="Y4" i="33"/>
  <c r="Y69" i="16" s="1"/>
  <c r="Y53" i="17" s="1"/>
  <c r="Y61" i="16"/>
  <c r="Y281" i="16" s="1"/>
  <c r="Y8" i="33"/>
  <c r="Y150" i="16"/>
  <c r="Y68" i="16"/>
  <c r="Y67" i="16"/>
  <c r="Y51" i="17" s="1"/>
  <c r="Z4" i="33"/>
  <c r="Z8" i="33"/>
  <c r="Z3" i="33"/>
  <c r="Z5" i="33"/>
  <c r="Z114" i="16"/>
  <c r="Z112" i="16"/>
  <c r="Z162" i="16" s="1"/>
  <c r="Z72" i="16"/>
  <c r="Z56" i="17" s="1"/>
  <c r="Z75" i="16"/>
  <c r="Z74" i="16"/>
  <c r="Z60" i="16"/>
  <c r="Z280" i="16" s="1"/>
  <c r="Z69" i="16"/>
  <c r="Z53" i="17" s="1"/>
  <c r="Z7" i="33"/>
  <c r="Z115" i="16"/>
  <c r="Z65" i="16"/>
  <c r="Z76" i="16"/>
  <c r="Z63" i="16"/>
  <c r="Z50" i="17" s="1"/>
  <c r="Z196" i="16"/>
  <c r="Z116" i="16"/>
  <c r="Z71" i="16"/>
  <c r="Z55" i="17" s="1"/>
  <c r="Z70" i="16"/>
  <c r="Z54" i="17" s="1"/>
  <c r="AA9" i="16"/>
  <c r="Z64" i="16"/>
  <c r="Z111" i="16"/>
  <c r="Z249" i="16"/>
  <c r="Z66" i="16"/>
  <c r="Z46" i="16"/>
  <c r="Z73" i="16"/>
  <c r="Z61" i="16"/>
  <c r="Z110" i="16"/>
  <c r="Z215" i="16"/>
  <c r="Z265" i="16"/>
  <c r="Y65" i="16"/>
  <c r="Y63" i="16" s="1"/>
  <c r="Y5" i="33"/>
  <c r="Y70" i="16" s="1"/>
  <c r="S104" i="8" l="1"/>
  <c r="S78" i="8"/>
  <c r="S85" i="8"/>
  <c r="S24" i="8"/>
  <c r="S81" i="8"/>
  <c r="S45" i="8"/>
  <c r="S56" i="8"/>
  <c r="S94" i="8"/>
  <c r="S72" i="8"/>
  <c r="S31" i="8"/>
  <c r="T9" i="8"/>
  <c r="S95" i="8"/>
  <c r="S29" i="8"/>
  <c r="S26" i="8"/>
  <c r="S98" i="8"/>
  <c r="S38" i="8"/>
  <c r="S114" i="8"/>
  <c r="S70" i="8"/>
  <c r="S33" i="8"/>
  <c r="S115" i="8"/>
  <c r="S79" i="8"/>
  <c r="S36" i="8"/>
  <c r="S23" i="8"/>
  <c r="S101" i="8"/>
  <c r="S60" i="8"/>
  <c r="S20" i="8"/>
  <c r="S106" i="8"/>
  <c r="S83" i="8"/>
  <c r="S35" i="8"/>
  <c r="S10" i="8"/>
  <c r="S74" i="8"/>
  <c r="S30" i="8"/>
  <c r="S55" i="8"/>
  <c r="S67" i="8"/>
  <c r="S110" i="8"/>
  <c r="S53" i="8"/>
  <c r="S97" i="8"/>
  <c r="S40" i="8"/>
  <c r="S66" i="8"/>
  <c r="S57" i="8"/>
  <c r="S105" i="8"/>
  <c r="S34" i="8"/>
  <c r="S80" i="8"/>
  <c r="S14" i="8"/>
  <c r="S54" i="8"/>
  <c r="S103" i="8"/>
  <c r="S13" i="8"/>
  <c r="S88" i="8"/>
  <c r="S73" i="8"/>
  <c r="S17" i="8"/>
  <c r="S46" i="8"/>
  <c r="S39" i="8"/>
  <c r="S62" i="8"/>
  <c r="S102" i="8"/>
  <c r="S28" i="8"/>
  <c r="S75" i="8"/>
  <c r="S15" i="8"/>
  <c r="S51" i="8"/>
  <c r="S113" i="8"/>
  <c r="S107" i="8"/>
  <c r="S16" i="8"/>
  <c r="S68" i="8"/>
  <c r="S111" i="8"/>
  <c r="S47" i="8"/>
  <c r="S91" i="8"/>
  <c r="S18" i="8"/>
  <c r="S44" i="8"/>
  <c r="S32" i="8"/>
  <c r="S92" i="8"/>
  <c r="S116" i="8"/>
  <c r="S82" i="8"/>
  <c r="S19" i="8"/>
  <c r="S77" i="8"/>
  <c r="S42" i="8"/>
  <c r="S37" i="8"/>
  <c r="S93" i="8"/>
  <c r="S21" i="8"/>
  <c r="S59" i="8"/>
  <c r="S89" i="8"/>
  <c r="S112" i="8"/>
  <c r="S41" i="8"/>
  <c r="S90" i="8"/>
  <c r="S11" i="8"/>
  <c r="S58" i="8"/>
  <c r="S109" i="8"/>
  <c r="S86" i="8"/>
  <c r="S100" i="8"/>
  <c r="S64" i="8"/>
  <c r="S71" i="8"/>
  <c r="S48" i="8"/>
  <c r="S99" i="8"/>
  <c r="S96" i="8"/>
  <c r="S65" i="8"/>
  <c r="S25" i="8"/>
  <c r="S61" i="8"/>
  <c r="S12" i="8"/>
  <c r="S27" i="8"/>
  <c r="S63" i="8"/>
  <c r="S87" i="8"/>
  <c r="S108" i="8"/>
  <c r="S50" i="8"/>
  <c r="S84" i="8"/>
  <c r="S52" i="8"/>
  <c r="S49" i="8"/>
  <c r="S22" i="8"/>
  <c r="S76" i="8"/>
  <c r="S69" i="8"/>
  <c r="S43" i="8"/>
  <c r="AB57" i="16"/>
  <c r="AB138" i="16" s="1"/>
  <c r="AA243" i="16"/>
  <c r="AA182" i="16"/>
  <c r="AA236" i="16"/>
  <c r="AA277" i="16"/>
  <c r="AA138" i="16"/>
  <c r="Y223" i="16"/>
  <c r="Y124" i="16"/>
  <c r="Y128" i="16" s="1"/>
  <c r="Y224" i="16"/>
  <c r="Y123" i="16"/>
  <c r="Y127" i="16" s="1"/>
  <c r="Z2" i="17"/>
  <c r="Y46" i="17"/>
  <c r="Y58" i="17"/>
  <c r="AB9" i="12"/>
  <c r="AA215" i="12"/>
  <c r="AA265" i="12"/>
  <c r="AA249" i="12"/>
  <c r="AA196" i="12"/>
  <c r="Y54" i="17"/>
  <c r="Y76" i="16"/>
  <c r="AA70" i="16"/>
  <c r="AA54" i="17" s="1"/>
  <c r="AA3" i="33"/>
  <c r="AA5" i="33"/>
  <c r="AA7" i="33"/>
  <c r="AA116" i="16"/>
  <c r="AA111" i="16"/>
  <c r="AA75" i="16"/>
  <c r="AA110" i="16"/>
  <c r="AA72" i="16"/>
  <c r="AA56" i="17" s="1"/>
  <c r="AA71" i="16"/>
  <c r="AA55" i="17" s="1"/>
  <c r="AB9" i="16"/>
  <c r="AA115" i="16"/>
  <c r="AA74" i="16"/>
  <c r="AA215" i="16"/>
  <c r="AA60" i="16"/>
  <c r="AA46" i="16"/>
  <c r="AA265" i="16"/>
  <c r="AA69" i="16"/>
  <c r="AA53" i="17" s="1"/>
  <c r="AA4" i="33"/>
  <c r="AA8" i="33"/>
  <c r="AA249" i="16"/>
  <c r="AA114" i="16"/>
  <c r="AA64" i="16"/>
  <c r="AA196" i="16"/>
  <c r="AA65" i="16"/>
  <c r="AA63" i="16"/>
  <c r="AA50" i="17" s="1"/>
  <c r="AA73" i="16"/>
  <c r="AA61" i="16"/>
  <c r="AA112" i="16"/>
  <c r="AA162" i="16" s="1"/>
  <c r="AA66" i="16"/>
  <c r="AA76" i="16"/>
  <c r="Z217" i="16"/>
  <c r="Z218" i="16"/>
  <c r="Z137" i="16"/>
  <c r="Z47" i="17" s="1"/>
  <c r="Z48" i="17"/>
  <c r="Z247" i="16"/>
  <c r="AA280" i="16"/>
  <c r="Z252" i="16"/>
  <c r="Z255" i="16" s="1"/>
  <c r="Z193" i="16"/>
  <c r="Y75" i="16"/>
  <c r="Z150" i="16"/>
  <c r="Z67" i="16"/>
  <c r="Z51" i="17" s="1"/>
  <c r="Z68" i="16"/>
  <c r="Z52" i="17" s="1"/>
  <c r="Y52" i="17"/>
  <c r="Y66" i="16"/>
  <c r="Z281" i="16"/>
  <c r="Y136" i="16"/>
  <c r="Y49" i="17"/>
  <c r="Y114" i="16"/>
  <c r="Y50" i="17"/>
  <c r="Y71" i="16"/>
  <c r="Y55" i="17" s="1"/>
  <c r="Y116" i="16"/>
  <c r="Y72" i="16"/>
  <c r="Y56" i="17" s="1"/>
  <c r="Y115" i="16"/>
  <c r="Z49" i="17"/>
  <c r="AA281" i="16"/>
  <c r="Z136" i="16"/>
  <c r="T94" i="8" l="1"/>
  <c r="T35" i="8"/>
  <c r="T17" i="8"/>
  <c r="T101" i="8"/>
  <c r="T108" i="8"/>
  <c r="T20" i="8"/>
  <c r="T114" i="8"/>
  <c r="T75" i="8"/>
  <c r="T34" i="8"/>
  <c r="T30" i="8"/>
  <c r="T89" i="8"/>
  <c r="T33" i="8"/>
  <c r="T102" i="8"/>
  <c r="T60" i="8"/>
  <c r="T105" i="8"/>
  <c r="T64" i="8"/>
  <c r="U9" i="8"/>
  <c r="T68" i="8"/>
  <c r="T24" i="8"/>
  <c r="T71" i="8"/>
  <c r="T22" i="8"/>
  <c r="T14" i="8"/>
  <c r="T116" i="8"/>
  <c r="T70" i="8"/>
  <c r="T11" i="8"/>
  <c r="T26" i="8"/>
  <c r="T46" i="8"/>
  <c r="T104" i="8"/>
  <c r="T84" i="8"/>
  <c r="T56" i="8"/>
  <c r="T41" i="8"/>
  <c r="T81" i="8"/>
  <c r="T63" i="8"/>
  <c r="T10" i="8"/>
  <c r="T110" i="8"/>
  <c r="T57" i="8"/>
  <c r="T40" i="8"/>
  <c r="T13" i="8"/>
  <c r="T77" i="8"/>
  <c r="T18" i="8"/>
  <c r="T87" i="8"/>
  <c r="T28" i="8"/>
  <c r="T91" i="8"/>
  <c r="T58" i="8"/>
  <c r="T112" i="8"/>
  <c r="T44" i="8"/>
  <c r="T111" i="8"/>
  <c r="T36" i="8"/>
  <c r="T90" i="8"/>
  <c r="T74" i="8"/>
  <c r="T73" i="8"/>
  <c r="T27" i="8"/>
  <c r="T86" i="8"/>
  <c r="T106" i="8"/>
  <c r="T92" i="8"/>
  <c r="T61" i="8"/>
  <c r="T32" i="8"/>
  <c r="T115" i="8"/>
  <c r="T79" i="8"/>
  <c r="T42" i="8"/>
  <c r="T16" i="8"/>
  <c r="T99" i="8"/>
  <c r="T62" i="8"/>
  <c r="T12" i="8"/>
  <c r="T107" i="8"/>
  <c r="T66" i="8"/>
  <c r="T31" i="8"/>
  <c r="T76" i="8"/>
  <c r="T37" i="8"/>
  <c r="T85" i="8"/>
  <c r="T78" i="8"/>
  <c r="T98" i="8"/>
  <c r="T49" i="8"/>
  <c r="T97" i="8"/>
  <c r="T52" i="8"/>
  <c r="T80" i="8"/>
  <c r="T55" i="8"/>
  <c r="T59" i="8"/>
  <c r="T72" i="8"/>
  <c r="T29" i="8"/>
  <c r="T50" i="8"/>
  <c r="T19" i="8"/>
  <c r="T15" i="8"/>
  <c r="T100" i="8"/>
  <c r="T21" i="8"/>
  <c r="T45" i="8"/>
  <c r="T23" i="8"/>
  <c r="T67" i="8"/>
  <c r="T103" i="8"/>
  <c r="T88" i="8"/>
  <c r="T96" i="8"/>
  <c r="T69" i="8"/>
  <c r="T83" i="8"/>
  <c r="T93" i="8"/>
  <c r="T95" i="8"/>
  <c r="T65" i="8"/>
  <c r="T51" i="8"/>
  <c r="T113" i="8"/>
  <c r="T25" i="8"/>
  <c r="T38" i="8"/>
  <c r="T109" i="8"/>
  <c r="T48" i="8"/>
  <c r="T43" i="8"/>
  <c r="T47" i="8"/>
  <c r="T39" i="8"/>
  <c r="T54" i="8"/>
  <c r="T53" i="8"/>
  <c r="T82" i="8"/>
  <c r="AA193" i="16"/>
  <c r="AB236" i="16"/>
  <c r="AB243" i="16"/>
  <c r="AC57" i="16"/>
  <c r="AC277" i="16" s="1"/>
  <c r="AB182" i="16"/>
  <c r="AB277" i="16"/>
  <c r="Z58" i="17"/>
  <c r="AA2" i="17"/>
  <c r="Z46" i="17"/>
  <c r="AB249" i="12"/>
  <c r="AB215" i="12"/>
  <c r="AB196" i="12"/>
  <c r="AB265" i="12"/>
  <c r="AC9" i="12"/>
  <c r="AA49" i="17"/>
  <c r="AA136" i="16"/>
  <c r="AB281" i="16"/>
  <c r="AA48" i="17"/>
  <c r="AA247" i="16"/>
  <c r="AB280" i="16"/>
  <c r="AA252" i="16"/>
  <c r="AA255" i="16" s="1"/>
  <c r="AB7" i="33"/>
  <c r="AB69" i="16"/>
  <c r="AB53" i="17" s="1"/>
  <c r="AB196" i="16"/>
  <c r="AB265" i="16"/>
  <c r="AB71" i="16"/>
  <c r="AB55" i="17" s="1"/>
  <c r="AB111" i="16"/>
  <c r="AB114" i="16"/>
  <c r="AB46" i="16"/>
  <c r="AB70" i="16"/>
  <c r="AB54" i="17" s="1"/>
  <c r="AB4" i="33"/>
  <c r="AB8" i="33"/>
  <c r="AB60" i="16"/>
  <c r="AB115" i="16"/>
  <c r="AB74" i="16"/>
  <c r="AB66" i="16"/>
  <c r="AB61" i="16"/>
  <c r="AB3" i="33"/>
  <c r="AB5" i="33"/>
  <c r="AB76" i="16"/>
  <c r="AB72" i="16"/>
  <c r="AB56" i="17" s="1"/>
  <c r="AB215" i="16"/>
  <c r="AB63" i="16"/>
  <c r="AB50" i="17" s="1"/>
  <c r="AB65" i="16"/>
  <c r="AB112" i="16"/>
  <c r="AB162" i="16" s="1"/>
  <c r="AB75" i="16"/>
  <c r="AB73" i="16"/>
  <c r="AC9" i="16"/>
  <c r="AB110" i="16"/>
  <c r="AB249" i="16"/>
  <c r="AB116" i="16"/>
  <c r="AB64" i="16"/>
  <c r="AA217" i="16"/>
  <c r="AA137" i="16"/>
  <c r="AA47" i="17" s="1"/>
  <c r="AA218" i="16"/>
  <c r="AA150" i="16"/>
  <c r="AA67" i="16"/>
  <c r="AA51" i="17" s="1"/>
  <c r="AA68" i="16"/>
  <c r="AA52" i="17" s="1"/>
  <c r="U107" i="8" l="1"/>
  <c r="U34" i="8"/>
  <c r="U36" i="8"/>
  <c r="U94" i="8"/>
  <c r="U66" i="8"/>
  <c r="U17" i="8"/>
  <c r="U101" i="8"/>
  <c r="U63" i="8"/>
  <c r="U19" i="8"/>
  <c r="U116" i="8"/>
  <c r="U55" i="8"/>
  <c r="U109" i="8"/>
  <c r="U42" i="8"/>
  <c r="U115" i="8"/>
  <c r="U75" i="8"/>
  <c r="U114" i="8"/>
  <c r="U53" i="8"/>
  <c r="V9" i="8"/>
  <c r="U79" i="8"/>
  <c r="U51" i="8"/>
  <c r="U26" i="8"/>
  <c r="U87" i="8"/>
  <c r="U93" i="8"/>
  <c r="U11" i="8"/>
  <c r="U104" i="8"/>
  <c r="U64" i="8"/>
  <c r="U31" i="8"/>
  <c r="U111" i="8"/>
  <c r="U81" i="8"/>
  <c r="U33" i="8"/>
  <c r="U12" i="8"/>
  <c r="U83" i="8"/>
  <c r="U70" i="8"/>
  <c r="U23" i="8"/>
  <c r="U88" i="8"/>
  <c r="U65" i="8"/>
  <c r="U24" i="8"/>
  <c r="U90" i="8"/>
  <c r="U39" i="8"/>
  <c r="U96" i="8"/>
  <c r="U59" i="8"/>
  <c r="U80" i="8"/>
  <c r="U57" i="8"/>
  <c r="U108" i="8"/>
  <c r="U60" i="8"/>
  <c r="U106" i="8"/>
  <c r="U52" i="8"/>
  <c r="U22" i="8"/>
  <c r="U91" i="8"/>
  <c r="U35" i="8"/>
  <c r="U41" i="8"/>
  <c r="U77" i="8"/>
  <c r="U30" i="8"/>
  <c r="U49" i="8"/>
  <c r="U100" i="8"/>
  <c r="U67" i="8"/>
  <c r="U45" i="8"/>
  <c r="U110" i="8"/>
  <c r="U105" i="8"/>
  <c r="U48" i="8"/>
  <c r="U14" i="8"/>
  <c r="U74" i="8"/>
  <c r="U61" i="8"/>
  <c r="U15" i="8"/>
  <c r="U86" i="8"/>
  <c r="U40" i="8"/>
  <c r="U73" i="8"/>
  <c r="U25" i="8"/>
  <c r="U85" i="8"/>
  <c r="U16" i="8"/>
  <c r="U95" i="8"/>
  <c r="U54" i="8"/>
  <c r="U92" i="8"/>
  <c r="U58" i="8"/>
  <c r="U99" i="8"/>
  <c r="U71" i="8"/>
  <c r="U29" i="8"/>
  <c r="U32" i="8"/>
  <c r="U28" i="8"/>
  <c r="U98" i="8"/>
  <c r="U50" i="8"/>
  <c r="U113" i="8"/>
  <c r="U82" i="8"/>
  <c r="U21" i="8"/>
  <c r="U46" i="8"/>
  <c r="U38" i="8"/>
  <c r="U103" i="8"/>
  <c r="U97" i="8"/>
  <c r="U69" i="8"/>
  <c r="U47" i="8"/>
  <c r="U56" i="8"/>
  <c r="U76" i="8"/>
  <c r="U78" i="8"/>
  <c r="U43" i="8"/>
  <c r="U72" i="8"/>
  <c r="U27" i="8"/>
  <c r="U20" i="8"/>
  <c r="U13" i="8"/>
  <c r="U10" i="8"/>
  <c r="U18" i="8"/>
  <c r="U84" i="8"/>
  <c r="U62" i="8"/>
  <c r="U44" i="8"/>
  <c r="U68" i="8"/>
  <c r="U37" i="8"/>
  <c r="U89" i="8"/>
  <c r="U102" i="8"/>
  <c r="U112" i="8"/>
  <c r="AD57" i="16"/>
  <c r="AD138" i="16" s="1"/>
  <c r="AC182" i="16"/>
  <c r="AC236" i="16"/>
  <c r="AC243" i="16"/>
  <c r="AC138" i="16"/>
  <c r="AA58" i="17"/>
  <c r="AA46" i="17"/>
  <c r="AB2" i="17"/>
  <c r="AB193" i="16"/>
  <c r="AC265" i="12"/>
  <c r="AC249" i="12"/>
  <c r="AC215" i="12"/>
  <c r="AD9" i="12"/>
  <c r="AC196" i="12"/>
  <c r="AC4" i="33"/>
  <c r="AC8" i="33"/>
  <c r="AC74" i="16"/>
  <c r="AC64" i="16"/>
  <c r="AC249" i="16"/>
  <c r="AC60" i="16"/>
  <c r="AC115" i="16"/>
  <c r="AC75" i="16"/>
  <c r="AD9" i="16"/>
  <c r="AC69" i="16"/>
  <c r="AC53" i="17" s="1"/>
  <c r="AC3" i="33"/>
  <c r="AC5" i="33"/>
  <c r="AC70" i="16"/>
  <c r="AC54" i="17" s="1"/>
  <c r="AC7" i="33"/>
  <c r="AC61" i="16"/>
  <c r="AC73" i="16"/>
  <c r="AC71" i="16"/>
  <c r="AC55" i="17" s="1"/>
  <c r="AC215" i="16"/>
  <c r="AC66" i="16"/>
  <c r="AC114" i="16"/>
  <c r="AC63" i="16"/>
  <c r="AC50" i="17" s="1"/>
  <c r="AC72" i="16"/>
  <c r="AC56" i="17" s="1"/>
  <c r="AC110" i="16"/>
  <c r="AC111" i="16"/>
  <c r="AC265" i="16"/>
  <c r="AC46" i="16"/>
  <c r="AC112" i="16"/>
  <c r="AC162" i="16" s="1"/>
  <c r="AC65" i="16"/>
  <c r="AC76" i="16"/>
  <c r="AC116" i="16"/>
  <c r="AC196" i="16"/>
  <c r="AB150" i="16"/>
  <c r="AB67" i="16"/>
  <c r="AB51" i="17" s="1"/>
  <c r="AB68" i="16"/>
  <c r="AB52" i="17" s="1"/>
  <c r="AB49" i="17"/>
  <c r="AB136" i="16"/>
  <c r="AC281" i="16"/>
  <c r="AC280" i="16"/>
  <c r="AB48" i="17"/>
  <c r="AB247" i="16"/>
  <c r="AB252" i="16"/>
  <c r="AB255" i="16" s="1"/>
  <c r="AB137" i="16"/>
  <c r="AB47" i="17" s="1"/>
  <c r="AB217" i="16"/>
  <c r="AB218" i="16"/>
  <c r="V106" i="8" l="1"/>
  <c r="V58" i="8"/>
  <c r="V15" i="8"/>
  <c r="V99" i="8"/>
  <c r="V84" i="8"/>
  <c r="V44" i="8"/>
  <c r="V19" i="8"/>
  <c r="V94" i="8"/>
  <c r="V34" i="8"/>
  <c r="V14" i="8"/>
  <c r="V71" i="8"/>
  <c r="V23" i="8"/>
  <c r="V86" i="8"/>
  <c r="V43" i="8"/>
  <c r="V97" i="8"/>
  <c r="V40" i="8"/>
  <c r="V116" i="8"/>
  <c r="V90" i="8"/>
  <c r="V31" i="8"/>
  <c r="V77" i="8"/>
  <c r="V28" i="8"/>
  <c r="V85" i="8"/>
  <c r="V80" i="8"/>
  <c r="V16" i="8"/>
  <c r="V46" i="8"/>
  <c r="V82" i="8"/>
  <c r="V36" i="8"/>
  <c r="V105" i="8"/>
  <c r="V78" i="8"/>
  <c r="V48" i="8"/>
  <c r="V12" i="8"/>
  <c r="V95" i="8"/>
  <c r="V64" i="8"/>
  <c r="V17" i="8"/>
  <c r="V102" i="8"/>
  <c r="V63" i="8"/>
  <c r="V52" i="8"/>
  <c r="V38" i="8"/>
  <c r="V65" i="8"/>
  <c r="V11" i="8"/>
  <c r="V70" i="8"/>
  <c r="V30" i="8"/>
  <c r="V83" i="8"/>
  <c r="V26" i="8"/>
  <c r="V96" i="8"/>
  <c r="V47" i="8"/>
  <c r="V109" i="8"/>
  <c r="V60" i="8"/>
  <c r="V87" i="8"/>
  <c r="V49" i="8"/>
  <c r="V67" i="8"/>
  <c r="V89" i="8"/>
  <c r="V33" i="8"/>
  <c r="V76" i="8"/>
  <c r="V108" i="8"/>
  <c r="V66" i="8"/>
  <c r="V53" i="8"/>
  <c r="V27" i="8"/>
  <c r="V112" i="8"/>
  <c r="V42" i="8"/>
  <c r="V22" i="8"/>
  <c r="V91" i="8"/>
  <c r="V81" i="8"/>
  <c r="V54" i="8"/>
  <c r="V103" i="8"/>
  <c r="V41" i="8"/>
  <c r="V113" i="8"/>
  <c r="V57" i="8"/>
  <c r="V13" i="8"/>
  <c r="V74" i="8"/>
  <c r="W9" i="8"/>
  <c r="V72" i="8"/>
  <c r="V18" i="8"/>
  <c r="V104" i="8"/>
  <c r="V68" i="8"/>
  <c r="V61" i="8"/>
  <c r="V10" i="8"/>
  <c r="V114" i="8"/>
  <c r="V29" i="8"/>
  <c r="V115" i="8"/>
  <c r="V51" i="8"/>
  <c r="V107" i="8"/>
  <c r="V92" i="8"/>
  <c r="V59" i="8"/>
  <c r="V98" i="8"/>
  <c r="V21" i="8"/>
  <c r="V25" i="8"/>
  <c r="V56" i="8"/>
  <c r="V75" i="8"/>
  <c r="V32" i="8"/>
  <c r="V24" i="8"/>
  <c r="V50" i="8"/>
  <c r="V73" i="8"/>
  <c r="V20" i="8"/>
  <c r="V100" i="8"/>
  <c r="V37" i="8"/>
  <c r="V39" i="8"/>
  <c r="V79" i="8"/>
  <c r="V111" i="8"/>
  <c r="V35" i="8"/>
  <c r="V101" i="8"/>
  <c r="V62" i="8"/>
  <c r="V55" i="8"/>
  <c r="V110" i="8"/>
  <c r="V88" i="8"/>
  <c r="V93" i="8"/>
  <c r="V69" i="8"/>
  <c r="V45" i="8"/>
  <c r="AE57" i="16"/>
  <c r="AE138" i="16" s="1"/>
  <c r="AD236" i="16"/>
  <c r="AD182" i="16"/>
  <c r="AD243" i="16"/>
  <c r="AD277" i="16"/>
  <c r="AB46" i="17"/>
  <c r="AB58" i="17"/>
  <c r="AC2" i="17"/>
  <c r="AD249" i="12"/>
  <c r="AD215" i="12"/>
  <c r="AD265" i="12"/>
  <c r="AE9" i="12"/>
  <c r="AD196" i="12"/>
  <c r="AC193" i="16"/>
  <c r="AC137" i="16"/>
  <c r="AC47" i="17" s="1"/>
  <c r="AC218" i="16"/>
  <c r="AC217" i="16"/>
  <c r="AC150" i="16"/>
  <c r="AC67" i="16"/>
  <c r="AC51" i="17" s="1"/>
  <c r="AC68" i="16"/>
  <c r="AC52" i="17" s="1"/>
  <c r="AD69" i="16"/>
  <c r="AD53" i="17" s="1"/>
  <c r="AD4" i="33"/>
  <c r="AD8" i="33"/>
  <c r="AD70" i="16"/>
  <c r="AD54" i="17" s="1"/>
  <c r="AD3" i="33"/>
  <c r="AD5" i="33"/>
  <c r="AD116" i="16"/>
  <c r="AD7" i="33"/>
  <c r="AE9" i="16"/>
  <c r="AD115" i="16"/>
  <c r="AD74" i="16"/>
  <c r="AD73" i="16"/>
  <c r="AD114" i="16"/>
  <c r="AD265" i="16"/>
  <c r="AD72" i="16"/>
  <c r="AD56" i="17" s="1"/>
  <c r="AD64" i="16"/>
  <c r="AD66" i="16"/>
  <c r="AD110" i="16"/>
  <c r="AD76" i="16"/>
  <c r="AD61" i="16"/>
  <c r="AD71" i="16"/>
  <c r="AD55" i="17" s="1"/>
  <c r="AD112" i="16"/>
  <c r="AD162" i="16" s="1"/>
  <c r="AD75" i="16"/>
  <c r="AD46" i="16"/>
  <c r="AD196" i="16"/>
  <c r="AD215" i="16"/>
  <c r="AD111" i="16"/>
  <c r="AD65" i="16"/>
  <c r="AD63" i="16"/>
  <c r="AD50" i="17" s="1"/>
  <c r="AD249" i="16"/>
  <c r="AD60" i="16"/>
  <c r="AC247" i="16"/>
  <c r="AD280" i="16"/>
  <c r="AC48" i="17"/>
  <c r="AC252" i="16"/>
  <c r="AC255" i="16" s="1"/>
  <c r="AC49" i="17"/>
  <c r="AC136" i="16"/>
  <c r="AD281" i="16"/>
  <c r="W71" i="8" l="1"/>
  <c r="W40" i="8"/>
  <c r="W32" i="8"/>
  <c r="W97" i="8"/>
  <c r="W57" i="8"/>
  <c r="W36" i="8"/>
  <c r="W114" i="8"/>
  <c r="W60" i="8"/>
  <c r="W27" i="8"/>
  <c r="W94" i="8"/>
  <c r="W39" i="8"/>
  <c r="W12" i="8"/>
  <c r="W83" i="8"/>
  <c r="W66" i="8"/>
  <c r="W98" i="8"/>
  <c r="W49" i="8"/>
  <c r="W101" i="8"/>
  <c r="W74" i="8"/>
  <c r="W45" i="8"/>
  <c r="W69" i="8"/>
  <c r="W99" i="8"/>
  <c r="W73" i="8"/>
  <c r="W22" i="8"/>
  <c r="W106" i="8"/>
  <c r="W52" i="8"/>
  <c r="W10" i="8"/>
  <c r="W79" i="8"/>
  <c r="W17" i="8"/>
  <c r="W104" i="8"/>
  <c r="W76" i="8"/>
  <c r="W30" i="8"/>
  <c r="W91" i="8"/>
  <c r="W68" i="8"/>
  <c r="W116" i="8"/>
  <c r="W59" i="8"/>
  <c r="W21" i="8"/>
  <c r="W23" i="8"/>
  <c r="W115" i="8"/>
  <c r="W111" i="8"/>
  <c r="W89" i="8"/>
  <c r="W88" i="8"/>
  <c r="W50" i="8"/>
  <c r="W109" i="8"/>
  <c r="W90" i="8"/>
  <c r="W63" i="8"/>
  <c r="W24" i="8"/>
  <c r="W113" i="8"/>
  <c r="W77" i="8"/>
  <c r="W47" i="8"/>
  <c r="W19" i="8"/>
  <c r="W78" i="8"/>
  <c r="W25" i="8"/>
  <c r="W112" i="8"/>
  <c r="W81" i="8"/>
  <c r="W51" i="8"/>
  <c r="W103" i="8"/>
  <c r="W61" i="8"/>
  <c r="W35" i="8"/>
  <c r="W80" i="8"/>
  <c r="W34" i="8"/>
  <c r="W102" i="8"/>
  <c r="W41" i="8"/>
  <c r="W18" i="8"/>
  <c r="W87" i="8"/>
  <c r="W62" i="8"/>
  <c r="W72" i="8"/>
  <c r="W26" i="8"/>
  <c r="W13" i="8"/>
  <c r="W46" i="8"/>
  <c r="W38" i="8"/>
  <c r="W92" i="8"/>
  <c r="W43" i="8"/>
  <c r="W107" i="8"/>
  <c r="W31" i="8"/>
  <c r="W20" i="8"/>
  <c r="W16" i="8"/>
  <c r="W15" i="8"/>
  <c r="X9" i="8"/>
  <c r="W55" i="8"/>
  <c r="W95" i="8"/>
  <c r="W44" i="8"/>
  <c r="W28" i="8"/>
  <c r="W58" i="8"/>
  <c r="W110" i="8"/>
  <c r="W85" i="8"/>
  <c r="W93" i="8"/>
  <c r="W48" i="8"/>
  <c r="W96" i="8"/>
  <c r="W29" i="8"/>
  <c r="W108" i="8"/>
  <c r="W65" i="8"/>
  <c r="W11" i="8"/>
  <c r="W64" i="8"/>
  <c r="W70" i="8"/>
  <c r="W54" i="8"/>
  <c r="W42" i="8"/>
  <c r="W37" i="8"/>
  <c r="W53" i="8"/>
  <c r="W75" i="8"/>
  <c r="W56" i="8"/>
  <c r="W100" i="8"/>
  <c r="W67" i="8"/>
  <c r="W33" i="8"/>
  <c r="W86" i="8"/>
  <c r="W82" i="8"/>
  <c r="W105" i="8"/>
  <c r="W14" i="8"/>
  <c r="W84" i="8"/>
  <c r="AE277" i="16"/>
  <c r="AE182" i="16"/>
  <c r="AE236" i="16"/>
  <c r="AF57" i="16"/>
  <c r="AE243" i="16"/>
  <c r="AE265" i="12"/>
  <c r="AE249" i="12"/>
  <c r="AE215" i="12"/>
  <c r="AF9" i="12"/>
  <c r="AE196" i="12"/>
  <c r="AC58" i="17"/>
  <c r="AD2" i="17"/>
  <c r="AC46" i="17"/>
  <c r="AD193" i="16"/>
  <c r="AE280" i="16"/>
  <c r="AD48" i="17"/>
  <c r="AD247" i="16"/>
  <c r="AD252" i="16"/>
  <c r="AD255" i="16" s="1"/>
  <c r="AD67" i="16"/>
  <c r="AD51" i="17" s="1"/>
  <c r="AD150" i="16"/>
  <c r="AD68" i="16"/>
  <c r="AD52" i="17" s="1"/>
  <c r="AD217" i="16"/>
  <c r="AD218" i="16"/>
  <c r="AD137" i="16"/>
  <c r="AD47" i="17" s="1"/>
  <c r="AD49" i="17"/>
  <c r="AE281" i="16"/>
  <c r="AD136" i="16"/>
  <c r="AE3" i="33"/>
  <c r="AE5" i="33"/>
  <c r="AE69" i="16"/>
  <c r="AE53" i="17" s="1"/>
  <c r="AE7" i="33"/>
  <c r="AE70" i="16"/>
  <c r="AE54" i="17" s="1"/>
  <c r="AE4" i="33"/>
  <c r="AE8" i="33"/>
  <c r="AE110" i="16"/>
  <c r="AE196" i="16"/>
  <c r="AE63" i="16"/>
  <c r="AE50" i="17" s="1"/>
  <c r="AE115" i="16"/>
  <c r="AE74" i="16"/>
  <c r="AE72" i="16"/>
  <c r="AE56" i="17" s="1"/>
  <c r="AE60" i="16"/>
  <c r="AE112" i="16"/>
  <c r="AE162" i="16" s="1"/>
  <c r="AE65" i="16"/>
  <c r="AE116" i="16"/>
  <c r="AE249" i="16"/>
  <c r="AF9" i="16"/>
  <c r="AE73" i="16"/>
  <c r="AE71" i="16"/>
  <c r="AE55" i="17" s="1"/>
  <c r="AE61" i="16"/>
  <c r="AE75" i="16"/>
  <c r="AE76" i="16"/>
  <c r="AE265" i="16"/>
  <c r="AE66" i="16"/>
  <c r="AE215" i="16"/>
  <c r="AE114" i="16"/>
  <c r="AE64" i="16"/>
  <c r="AE46" i="16"/>
  <c r="AE111" i="16"/>
  <c r="X108" i="8" l="1"/>
  <c r="X83" i="8"/>
  <c r="X45" i="8"/>
  <c r="Y9" i="8"/>
  <c r="X90" i="8"/>
  <c r="X97" i="8"/>
  <c r="X74" i="8"/>
  <c r="X12" i="8"/>
  <c r="X71" i="8"/>
  <c r="X51" i="8"/>
  <c r="X27" i="8"/>
  <c r="X61" i="8"/>
  <c r="X22" i="8"/>
  <c r="X113" i="8"/>
  <c r="X79" i="8"/>
  <c r="X18" i="8"/>
  <c r="X85" i="8"/>
  <c r="X56" i="8"/>
  <c r="X17" i="8"/>
  <c r="X76" i="8"/>
  <c r="X16" i="8"/>
  <c r="X89" i="8"/>
  <c r="X40" i="8"/>
  <c r="X11" i="8"/>
  <c r="X28" i="8"/>
  <c r="X20" i="8"/>
  <c r="X43" i="8"/>
  <c r="X115" i="8"/>
  <c r="X69" i="8"/>
  <c r="X23" i="8"/>
  <c r="X94" i="8"/>
  <c r="X91" i="8"/>
  <c r="X58" i="8"/>
  <c r="X114" i="8"/>
  <c r="X65" i="8"/>
  <c r="X29" i="8"/>
  <c r="X106" i="8"/>
  <c r="X66" i="8"/>
  <c r="X33" i="8"/>
  <c r="X99" i="8"/>
  <c r="X39" i="8"/>
  <c r="X62" i="8"/>
  <c r="X80" i="8"/>
  <c r="X24" i="8"/>
  <c r="X116" i="8"/>
  <c r="X72" i="8"/>
  <c r="X41" i="8"/>
  <c r="X88" i="8"/>
  <c r="X38" i="8"/>
  <c r="X100" i="8"/>
  <c r="X107" i="8"/>
  <c r="X104" i="8"/>
  <c r="X86" i="8"/>
  <c r="X70" i="8"/>
  <c r="X19" i="8"/>
  <c r="X31" i="8"/>
  <c r="X78" i="8"/>
  <c r="X77" i="8"/>
  <c r="X49" i="8"/>
  <c r="X96" i="8"/>
  <c r="X50" i="8"/>
  <c r="X57" i="8"/>
  <c r="X110" i="8"/>
  <c r="X52" i="8"/>
  <c r="X25" i="8"/>
  <c r="X81" i="8"/>
  <c r="X34" i="8"/>
  <c r="X111" i="8"/>
  <c r="X75" i="8"/>
  <c r="X13" i="8"/>
  <c r="X101" i="8"/>
  <c r="X48" i="8"/>
  <c r="X37" i="8"/>
  <c r="X105" i="8"/>
  <c r="X36" i="8"/>
  <c r="X98" i="8"/>
  <c r="X87" i="8"/>
  <c r="X54" i="8"/>
  <c r="X67" i="8"/>
  <c r="X103" i="8"/>
  <c r="X32" i="8"/>
  <c r="X95" i="8"/>
  <c r="X68" i="8"/>
  <c r="X47" i="8"/>
  <c r="X112" i="8"/>
  <c r="X55" i="8"/>
  <c r="X109" i="8"/>
  <c r="X30" i="8"/>
  <c r="X53" i="8"/>
  <c r="X82" i="8"/>
  <c r="X26" i="8"/>
  <c r="X73" i="8"/>
  <c r="X59" i="8"/>
  <c r="X64" i="8"/>
  <c r="X44" i="8"/>
  <c r="X42" i="8"/>
  <c r="X21" i="8"/>
  <c r="X92" i="8"/>
  <c r="X14" i="8"/>
  <c r="X84" i="8"/>
  <c r="X35" i="8"/>
  <c r="X15" i="8"/>
  <c r="X93" i="8"/>
  <c r="X60" i="8"/>
  <c r="X63" i="8"/>
  <c r="X10" i="8"/>
  <c r="X102" i="8"/>
  <c r="X46" i="8"/>
  <c r="AG57" i="16"/>
  <c r="AG277" i="16" s="1"/>
  <c r="AF182" i="16"/>
  <c r="AF243" i="16"/>
  <c r="AF236" i="16"/>
  <c r="AF138" i="16"/>
  <c r="AF277" i="16"/>
  <c r="AD58" i="17"/>
  <c r="AE2" i="17"/>
  <c r="AD46" i="17"/>
  <c r="AF265" i="12"/>
  <c r="AF249" i="12"/>
  <c r="AG9" i="12"/>
  <c r="AF196" i="12"/>
  <c r="AF215" i="12"/>
  <c r="AE137" i="16"/>
  <c r="AE47" i="17" s="1"/>
  <c r="AE218" i="16"/>
  <c r="AE217" i="16"/>
  <c r="AF281" i="16"/>
  <c r="AE49" i="17"/>
  <c r="AE136" i="16"/>
  <c r="AF280" i="16"/>
  <c r="AE48" i="17"/>
  <c r="AE247" i="16"/>
  <c r="AE252" i="16"/>
  <c r="AE255" i="16" s="1"/>
  <c r="AE67" i="16"/>
  <c r="AE51" i="17" s="1"/>
  <c r="AE68" i="16"/>
  <c r="AE52" i="17" s="1"/>
  <c r="AE150" i="16"/>
  <c r="AF70" i="16"/>
  <c r="AF54" i="17" s="1"/>
  <c r="AF7" i="33"/>
  <c r="AF4" i="33"/>
  <c r="AF8" i="33"/>
  <c r="AF69" i="16"/>
  <c r="AF53" i="17" s="1"/>
  <c r="AF3" i="33"/>
  <c r="AF5" i="33"/>
  <c r="AF72" i="16"/>
  <c r="AF56" i="17" s="1"/>
  <c r="AF265" i="16"/>
  <c r="AF65" i="16"/>
  <c r="AF73" i="16"/>
  <c r="AF116" i="16"/>
  <c r="AF111" i="16"/>
  <c r="AF63" i="16"/>
  <c r="AF50" i="17" s="1"/>
  <c r="AF61" i="16"/>
  <c r="AF46" i="16"/>
  <c r="AF110" i="16"/>
  <c r="AF193" i="16" s="1"/>
  <c r="AF196" i="16"/>
  <c r="AF74" i="16"/>
  <c r="AG9" i="16"/>
  <c r="AF112" i="16"/>
  <c r="AF162" i="16" s="1"/>
  <c r="AF60" i="16"/>
  <c r="AF215" i="16"/>
  <c r="AF75" i="16"/>
  <c r="AF249" i="16"/>
  <c r="AF115" i="16"/>
  <c r="AF76" i="16"/>
  <c r="AF66" i="16"/>
  <c r="AF114" i="16"/>
  <c r="AF64" i="16"/>
  <c r="AF71" i="16"/>
  <c r="AF55" i="17" s="1"/>
  <c r="AE193" i="16"/>
  <c r="Y93" i="8" l="1"/>
  <c r="Y66" i="8"/>
  <c r="Y40" i="8"/>
  <c r="Y110" i="8"/>
  <c r="Y80" i="8"/>
  <c r="Y37" i="8"/>
  <c r="Y25" i="8"/>
  <c r="Y81" i="8"/>
  <c r="Y36" i="8"/>
  <c r="Y109" i="8"/>
  <c r="Y62" i="8"/>
  <c r="Y17" i="8"/>
  <c r="Y83" i="8"/>
  <c r="Y51" i="8"/>
  <c r="Y114" i="8"/>
  <c r="Y67" i="8"/>
  <c r="Y12" i="8"/>
  <c r="Y102" i="8"/>
  <c r="Y69" i="8"/>
  <c r="Y100" i="8"/>
  <c r="Y98" i="8"/>
  <c r="Y85" i="8"/>
  <c r="Y101" i="8"/>
  <c r="Y54" i="8"/>
  <c r="Y48" i="8"/>
  <c r="Y111" i="8"/>
  <c r="Y68" i="8"/>
  <c r="Y97" i="8"/>
  <c r="Y56" i="8"/>
  <c r="Y35" i="8"/>
  <c r="Y96" i="8"/>
  <c r="Y73" i="8"/>
  <c r="Y43" i="8"/>
  <c r="Y24" i="8"/>
  <c r="Y60" i="8"/>
  <c r="Y64" i="8"/>
  <c r="Y84" i="8"/>
  <c r="Y29" i="8"/>
  <c r="Y10" i="8"/>
  <c r="Y91" i="8"/>
  <c r="Y15" i="8"/>
  <c r="Y94" i="8"/>
  <c r="Y47" i="8"/>
  <c r="Y16" i="8"/>
  <c r="Y75" i="8"/>
  <c r="Y22" i="8"/>
  <c r="Y70" i="8"/>
  <c r="Y74" i="8"/>
  <c r="Y31" i="8"/>
  <c r="Y38" i="8"/>
  <c r="Y86" i="8"/>
  <c r="Y21" i="8"/>
  <c r="Y33" i="8"/>
  <c r="Y46" i="8"/>
  <c r="Y90" i="8"/>
  <c r="Y79" i="8"/>
  <c r="Y11" i="8"/>
  <c r="Y105" i="8"/>
  <c r="Y72" i="8"/>
  <c r="Y14" i="8"/>
  <c r="Y95" i="8"/>
  <c r="Y71" i="8"/>
  <c r="Y65" i="8"/>
  <c r="Y76" i="8"/>
  <c r="Y23" i="8"/>
  <c r="Y108" i="8"/>
  <c r="Y63" i="8"/>
  <c r="Y28" i="8"/>
  <c r="Y88" i="8"/>
  <c r="Y44" i="8"/>
  <c r="Y107" i="8"/>
  <c r="Y53" i="8"/>
  <c r="Z9" i="8"/>
  <c r="Y49" i="8"/>
  <c r="Y30" i="8"/>
  <c r="Y13" i="8"/>
  <c r="Y27" i="8"/>
  <c r="Y19" i="8"/>
  <c r="Y106" i="8"/>
  <c r="Y78" i="8"/>
  <c r="Y59" i="8"/>
  <c r="Y57" i="8"/>
  <c r="Y20" i="8"/>
  <c r="Y89" i="8"/>
  <c r="Y18" i="8"/>
  <c r="Y39" i="8"/>
  <c r="Y112" i="8"/>
  <c r="Y77" i="8"/>
  <c r="Y26" i="8"/>
  <c r="Y99" i="8"/>
  <c r="Y41" i="8"/>
  <c r="Y82" i="8"/>
  <c r="Y34" i="8"/>
  <c r="Y103" i="8"/>
  <c r="Y113" i="8"/>
  <c r="Y92" i="8"/>
  <c r="Y45" i="8"/>
  <c r="Y104" i="8"/>
  <c r="Y55" i="8"/>
  <c r="Y32" i="8"/>
  <c r="Y61" i="8"/>
  <c r="Y115" i="8"/>
  <c r="Y42" i="8"/>
  <c r="Y58" i="8"/>
  <c r="Y87" i="8"/>
  <c r="Y116" i="8"/>
  <c r="Y52" i="8"/>
  <c r="Y50" i="8"/>
  <c r="AG182" i="16"/>
  <c r="AG243" i="16"/>
  <c r="AH57" i="16"/>
  <c r="AG236" i="16"/>
  <c r="AG138" i="16"/>
  <c r="AG265" i="12"/>
  <c r="AH9" i="12"/>
  <c r="AG249" i="12"/>
  <c r="AG215" i="12"/>
  <c r="AG196" i="12"/>
  <c r="AE58" i="17"/>
  <c r="AF2" i="17"/>
  <c r="AE46" i="17"/>
  <c r="AG69" i="16"/>
  <c r="AG53" i="17" s="1"/>
  <c r="AG70" i="16"/>
  <c r="AG54" i="17" s="1"/>
  <c r="AG4" i="33"/>
  <c r="AG8" i="33"/>
  <c r="AG3" i="33"/>
  <c r="AG5" i="33"/>
  <c r="AG7" i="33"/>
  <c r="AG61" i="16"/>
  <c r="AG112" i="16"/>
  <c r="AG162" i="16" s="1"/>
  <c r="AG215" i="16"/>
  <c r="AG60" i="16"/>
  <c r="AH9" i="16"/>
  <c r="AG75" i="16"/>
  <c r="AG114" i="16"/>
  <c r="AG64" i="16"/>
  <c r="AG63" i="16"/>
  <c r="AG50" i="17" s="1"/>
  <c r="AG115" i="16"/>
  <c r="AG66" i="16"/>
  <c r="AG72" i="16"/>
  <c r="AG56" i="17" s="1"/>
  <c r="AG71" i="16"/>
  <c r="AG55" i="17" s="1"/>
  <c r="AG116" i="16"/>
  <c r="AG74" i="16"/>
  <c r="AG110" i="16"/>
  <c r="AG46" i="16"/>
  <c r="AG111" i="16"/>
  <c r="AG76" i="16"/>
  <c r="AG249" i="16"/>
  <c r="AG196" i="16"/>
  <c r="AG73" i="16"/>
  <c r="AG65" i="16"/>
  <c r="AG265" i="16"/>
  <c r="AF137" i="16"/>
  <c r="AF47" i="17" s="1"/>
  <c r="AF218" i="16"/>
  <c r="AF217" i="16"/>
  <c r="AF67" i="16"/>
  <c r="AF51" i="17" s="1"/>
  <c r="AF150" i="16"/>
  <c r="AF68" i="16"/>
  <c r="AF52" i="17" s="1"/>
  <c r="AF247" i="16"/>
  <c r="AG280" i="16"/>
  <c r="AF48" i="17"/>
  <c r="AF252" i="16"/>
  <c r="AF255" i="16" s="1"/>
  <c r="AG281" i="16"/>
  <c r="AF49" i="17"/>
  <c r="AF136" i="16"/>
  <c r="Z93" i="8" l="1"/>
  <c r="Z74" i="8"/>
  <c r="Z49" i="8"/>
  <c r="Z113" i="8"/>
  <c r="Z84" i="8"/>
  <c r="Z42" i="8"/>
  <c r="Z24" i="8"/>
  <c r="Z80" i="8"/>
  <c r="Z45" i="8"/>
  <c r="Z32" i="8"/>
  <c r="Z103" i="8"/>
  <c r="Z57" i="8"/>
  <c r="Z20" i="8"/>
  <c r="Z102" i="8"/>
  <c r="Z47" i="8"/>
  <c r="Z100" i="8"/>
  <c r="Z43" i="8"/>
  <c r="Z55" i="8"/>
  <c r="Z104" i="8"/>
  <c r="Z50" i="8"/>
  <c r="Z91" i="8"/>
  <c r="Z59" i="8"/>
  <c r="Z71" i="8"/>
  <c r="Z68" i="8"/>
  <c r="Z10" i="8"/>
  <c r="Z54" i="8"/>
  <c r="Z14" i="8"/>
  <c r="Z83" i="8"/>
  <c r="Z56" i="8"/>
  <c r="Z41" i="8"/>
  <c r="Z115" i="8"/>
  <c r="Z70" i="8"/>
  <c r="Z40" i="8"/>
  <c r="Z105" i="8"/>
  <c r="Z79" i="8"/>
  <c r="Z66" i="8"/>
  <c r="Z16" i="8"/>
  <c r="Z76" i="8"/>
  <c r="Z37" i="8"/>
  <c r="Z26" i="8"/>
  <c r="Z75" i="8"/>
  <c r="AA9" i="8"/>
  <c r="Z58" i="8"/>
  <c r="Z111" i="8"/>
  <c r="Z64" i="8"/>
  <c r="Z87" i="8"/>
  <c r="Z27" i="8"/>
  <c r="Z51" i="8"/>
  <c r="Z48" i="8"/>
  <c r="Z13" i="8"/>
  <c r="Z39" i="8"/>
  <c r="Z95" i="8"/>
  <c r="Z85" i="8"/>
  <c r="Z96" i="8"/>
  <c r="Z77" i="8"/>
  <c r="Z38" i="8"/>
  <c r="Z11" i="8"/>
  <c r="Z82" i="8"/>
  <c r="Z73" i="8"/>
  <c r="Z35" i="8"/>
  <c r="Z92" i="8"/>
  <c r="Z62" i="8"/>
  <c r="Z29" i="8"/>
  <c r="Z112" i="8"/>
  <c r="Z86" i="8"/>
  <c r="Z65" i="8"/>
  <c r="Z17" i="8"/>
  <c r="Z52" i="8"/>
  <c r="Z114" i="8"/>
  <c r="Z36" i="8"/>
  <c r="Z98" i="8"/>
  <c r="Z12" i="8"/>
  <c r="Z67" i="8"/>
  <c r="Z15" i="8"/>
  <c r="Z18" i="8"/>
  <c r="Z23" i="8"/>
  <c r="Z78" i="8"/>
  <c r="Z107" i="8"/>
  <c r="Z46" i="8"/>
  <c r="Z90" i="8"/>
  <c r="Z31" i="8"/>
  <c r="Z34" i="8"/>
  <c r="Z110" i="8"/>
  <c r="Z72" i="8"/>
  <c r="Z101" i="8"/>
  <c r="Z60" i="8"/>
  <c r="Z19" i="8"/>
  <c r="Z106" i="8"/>
  <c r="Z81" i="8"/>
  <c r="Z69" i="8"/>
  <c r="Z22" i="8"/>
  <c r="Z21" i="8"/>
  <c r="Z116" i="8"/>
  <c r="Z61" i="8"/>
  <c r="Z89" i="8"/>
  <c r="Z30" i="8"/>
  <c r="Z28" i="8"/>
  <c r="Z109" i="8"/>
  <c r="Z88" i="8"/>
  <c r="Z94" i="8"/>
  <c r="Z108" i="8"/>
  <c r="Z44" i="8"/>
  <c r="Z53" i="8"/>
  <c r="Z25" i="8"/>
  <c r="Z33" i="8"/>
  <c r="Z97" i="8"/>
  <c r="Z63" i="8"/>
  <c r="Z99" i="8"/>
  <c r="AH236" i="16"/>
  <c r="AH182" i="16"/>
  <c r="AI57" i="16"/>
  <c r="AI277" i="16" s="1"/>
  <c r="AH243" i="16"/>
  <c r="AH277" i="16"/>
  <c r="AH138" i="16"/>
  <c r="AI9" i="12"/>
  <c r="AH196" i="12"/>
  <c r="AH249" i="12"/>
  <c r="AH265" i="12"/>
  <c r="AH215" i="12"/>
  <c r="AF58" i="17"/>
  <c r="AG2" i="17"/>
  <c r="AF46" i="17"/>
  <c r="AG193" i="16"/>
  <c r="AG48" i="17"/>
  <c r="AG247" i="16"/>
  <c r="AH280" i="16"/>
  <c r="AG252" i="16"/>
  <c r="AG255" i="16" s="1"/>
  <c r="AG150" i="16"/>
  <c r="AG67" i="16"/>
  <c r="AG51" i="17" s="1"/>
  <c r="AG68" i="16"/>
  <c r="AG52" i="17" s="1"/>
  <c r="AG217" i="16"/>
  <c r="AG137" i="16"/>
  <c r="AG47" i="17" s="1"/>
  <c r="AG218" i="16"/>
  <c r="AH4" i="33"/>
  <c r="AH8" i="33"/>
  <c r="AH3" i="33"/>
  <c r="AH5" i="33"/>
  <c r="AH69" i="16"/>
  <c r="AH53" i="17" s="1"/>
  <c r="AH7" i="33"/>
  <c r="AH70" i="16"/>
  <c r="AH54" i="17" s="1"/>
  <c r="AH65" i="16"/>
  <c r="AH114" i="16"/>
  <c r="AH111" i="16"/>
  <c r="AH215" i="16"/>
  <c r="AH76" i="16"/>
  <c r="AH46" i="16"/>
  <c r="AH64" i="16"/>
  <c r="AH115" i="16"/>
  <c r="AH71" i="16"/>
  <c r="AH55" i="17" s="1"/>
  <c r="AH196" i="16"/>
  <c r="AH75" i="16"/>
  <c r="AH74" i="16"/>
  <c r="AH66" i="16"/>
  <c r="AI9" i="16"/>
  <c r="AH61" i="16"/>
  <c r="AH110" i="16"/>
  <c r="AH112" i="16"/>
  <c r="AH162" i="16" s="1"/>
  <c r="AH265" i="16"/>
  <c r="AH73" i="16"/>
  <c r="AH249" i="16"/>
  <c r="AH72" i="16"/>
  <c r="AH56" i="17" s="1"/>
  <c r="AH116" i="16"/>
  <c r="AH63" i="16"/>
  <c r="AH50" i="17" s="1"/>
  <c r="AH60" i="16"/>
  <c r="AH281" i="16"/>
  <c r="AG136" i="16"/>
  <c r="AG49" i="17"/>
  <c r="AA110" i="8" l="1"/>
  <c r="AA58" i="8"/>
  <c r="AA41" i="8"/>
  <c r="AA24" i="8"/>
  <c r="AA89" i="8"/>
  <c r="AA63" i="8"/>
  <c r="AA18" i="8"/>
  <c r="AA93" i="8"/>
  <c r="AA101" i="8"/>
  <c r="AA21" i="8"/>
  <c r="AA112" i="8"/>
  <c r="AA85" i="8"/>
  <c r="AA35" i="8"/>
  <c r="AA38" i="8"/>
  <c r="AA65" i="8"/>
  <c r="AA107" i="8"/>
  <c r="AA28" i="8"/>
  <c r="AA74" i="8"/>
  <c r="AA14" i="8"/>
  <c r="AA23" i="8"/>
  <c r="AA39" i="8"/>
  <c r="AA13" i="8"/>
  <c r="AA83" i="8"/>
  <c r="AA59" i="8"/>
  <c r="AA109" i="8"/>
  <c r="AA77" i="8"/>
  <c r="AA70" i="8"/>
  <c r="AA103" i="8"/>
  <c r="AA87" i="8"/>
  <c r="AA12" i="8"/>
  <c r="AA108" i="8"/>
  <c r="AA79" i="8"/>
  <c r="AA36" i="8"/>
  <c r="AA16" i="8"/>
  <c r="AA96" i="8"/>
  <c r="AA62" i="8"/>
  <c r="AA19" i="8"/>
  <c r="AA92" i="8"/>
  <c r="AA69" i="8"/>
  <c r="AA30" i="8"/>
  <c r="AA111" i="8"/>
  <c r="AA49" i="8"/>
  <c r="AA90" i="8"/>
  <c r="AA17" i="8"/>
  <c r="AA73" i="8"/>
  <c r="AA97" i="8"/>
  <c r="AA82" i="8"/>
  <c r="AA116" i="8"/>
  <c r="AA34" i="8"/>
  <c r="AA20" i="8"/>
  <c r="AA11" i="8"/>
  <c r="AA102" i="8"/>
  <c r="AA50" i="8"/>
  <c r="AA43" i="8"/>
  <c r="AA88" i="8"/>
  <c r="AA64" i="8"/>
  <c r="AA26" i="8"/>
  <c r="AA94" i="8"/>
  <c r="AA72" i="8"/>
  <c r="AA47" i="8"/>
  <c r="AA22" i="8"/>
  <c r="AA80" i="8"/>
  <c r="AA54" i="8"/>
  <c r="AA48" i="8"/>
  <c r="AA95" i="8"/>
  <c r="AA55" i="8"/>
  <c r="AA42" i="8"/>
  <c r="AA81" i="8"/>
  <c r="AA32" i="8"/>
  <c r="AA61" i="8"/>
  <c r="AA106" i="8"/>
  <c r="AA68" i="8"/>
  <c r="AA71" i="8"/>
  <c r="AA51" i="8"/>
  <c r="AA86" i="8"/>
  <c r="AA105" i="8"/>
  <c r="AA104" i="8"/>
  <c r="AA114" i="8"/>
  <c r="AA45" i="8"/>
  <c r="AA99" i="8"/>
  <c r="AA46" i="8"/>
  <c r="AA115" i="8"/>
  <c r="AA100" i="8"/>
  <c r="AA78" i="8"/>
  <c r="AA37" i="8"/>
  <c r="AA29" i="8"/>
  <c r="AA52" i="8"/>
  <c r="AA56" i="8"/>
  <c r="AA84" i="8"/>
  <c r="AA60" i="8"/>
  <c r="AA53" i="8"/>
  <c r="AA25" i="8"/>
  <c r="AA98" i="8"/>
  <c r="AA57" i="8"/>
  <c r="AA33" i="8"/>
  <c r="AA44" i="8"/>
  <c r="AA31" i="8"/>
  <c r="AB9" i="8"/>
  <c r="AA66" i="8"/>
  <c r="AA27" i="8"/>
  <c r="AA76" i="8"/>
  <c r="AA10" i="8"/>
  <c r="AA15" i="8"/>
  <c r="AA67" i="8"/>
  <c r="AA113" i="8"/>
  <c r="AA75" i="8"/>
  <c r="AA91" i="8"/>
  <c r="AA40" i="8"/>
  <c r="AI236" i="16"/>
  <c r="AI182" i="16"/>
  <c r="AJ57" i="16"/>
  <c r="AJ277" i="16" s="1"/>
  <c r="AI243" i="16"/>
  <c r="AI138" i="16"/>
  <c r="AH193" i="16"/>
  <c r="AG58" i="17"/>
  <c r="AG46" i="17"/>
  <c r="AH2" i="17"/>
  <c r="AI215" i="12"/>
  <c r="AJ9" i="12"/>
  <c r="AI196" i="12"/>
  <c r="AI249" i="12"/>
  <c r="AI265" i="12"/>
  <c r="AH137" i="16"/>
  <c r="AH47" i="17" s="1"/>
  <c r="AH217" i="16"/>
  <c r="AH218" i="16"/>
  <c r="AH247" i="16"/>
  <c r="AH48" i="17"/>
  <c r="AI280" i="16"/>
  <c r="AH252" i="16"/>
  <c r="AH255" i="16" s="1"/>
  <c r="AI70" i="16"/>
  <c r="AI54" i="17" s="1"/>
  <c r="AI3" i="33"/>
  <c r="AI5" i="33"/>
  <c r="AI7" i="33"/>
  <c r="AI69" i="16"/>
  <c r="AI53" i="17" s="1"/>
  <c r="AI4" i="33"/>
  <c r="AI8" i="33"/>
  <c r="AI110" i="16"/>
  <c r="AJ9" i="16"/>
  <c r="AI63" i="16"/>
  <c r="AI50" i="17" s="1"/>
  <c r="AI74" i="16"/>
  <c r="AI46" i="16"/>
  <c r="AI215" i="16"/>
  <c r="AI65" i="16"/>
  <c r="AI115" i="16"/>
  <c r="AI60" i="16"/>
  <c r="AI196" i="16"/>
  <c r="AI64" i="16"/>
  <c r="AI112" i="16"/>
  <c r="AI162" i="16" s="1"/>
  <c r="AI265" i="16"/>
  <c r="AI73" i="16"/>
  <c r="AI72" i="16"/>
  <c r="AI56" i="17" s="1"/>
  <c r="AI66" i="16"/>
  <c r="AI114" i="16"/>
  <c r="AI76" i="16"/>
  <c r="AI75" i="16"/>
  <c r="AI111" i="16"/>
  <c r="AI61" i="16"/>
  <c r="AI249" i="16"/>
  <c r="AI116" i="16"/>
  <c r="AI71" i="16"/>
  <c r="AI55" i="17" s="1"/>
  <c r="AH49" i="17"/>
  <c r="AI281" i="16"/>
  <c r="AH136" i="16"/>
  <c r="AH150" i="16"/>
  <c r="AH67" i="16"/>
  <c r="AH51" i="17" s="1"/>
  <c r="AH68" i="16"/>
  <c r="AH52" i="17" s="1"/>
  <c r="AB103" i="8" l="1"/>
  <c r="AB72" i="8"/>
  <c r="AB55" i="8"/>
  <c r="AB15" i="8"/>
  <c r="AB80" i="8"/>
  <c r="AB54" i="8"/>
  <c r="AB32" i="8"/>
  <c r="AB109" i="8"/>
  <c r="AB108" i="8"/>
  <c r="AB66" i="8"/>
  <c r="AB21" i="8"/>
  <c r="AB85" i="8"/>
  <c r="AB36" i="8"/>
  <c r="AB17" i="8"/>
  <c r="AB76" i="8"/>
  <c r="AB13" i="8"/>
  <c r="AB51" i="8"/>
  <c r="AB98" i="8"/>
  <c r="AB31" i="8"/>
  <c r="AB53" i="8"/>
  <c r="AB44" i="8"/>
  <c r="AB43" i="8"/>
  <c r="AB40" i="8"/>
  <c r="AB95" i="8"/>
  <c r="AB90" i="8"/>
  <c r="AB64" i="8"/>
  <c r="AB105" i="8"/>
  <c r="AB106" i="8"/>
  <c r="AB68" i="8"/>
  <c r="AB12" i="8"/>
  <c r="AB114" i="8"/>
  <c r="AB74" i="8"/>
  <c r="AB42" i="8"/>
  <c r="AB16" i="8"/>
  <c r="AB102" i="8"/>
  <c r="AB70" i="8"/>
  <c r="AB27" i="8"/>
  <c r="AB112" i="8"/>
  <c r="AB77" i="8"/>
  <c r="AB48" i="8"/>
  <c r="AB29" i="8"/>
  <c r="AB63" i="8"/>
  <c r="AB99" i="8"/>
  <c r="AB28" i="8"/>
  <c r="AB89" i="8"/>
  <c r="AB37" i="8"/>
  <c r="AB19" i="8"/>
  <c r="AC9" i="8"/>
  <c r="AB26" i="8"/>
  <c r="AB38" i="8"/>
  <c r="AB83" i="8"/>
  <c r="AB47" i="8"/>
  <c r="AB49" i="8"/>
  <c r="AB45" i="8"/>
  <c r="AB88" i="8"/>
  <c r="AB59" i="8"/>
  <c r="AB33" i="8"/>
  <c r="AB110" i="8"/>
  <c r="AB65" i="8"/>
  <c r="AB52" i="8"/>
  <c r="AB23" i="8"/>
  <c r="AB87" i="8"/>
  <c r="AB56" i="8"/>
  <c r="AB18" i="8"/>
  <c r="AB92" i="8"/>
  <c r="AB71" i="8"/>
  <c r="AB30" i="8"/>
  <c r="AB111" i="8"/>
  <c r="AB62" i="8"/>
  <c r="AB75" i="8"/>
  <c r="AB39" i="8"/>
  <c r="AB86" i="8"/>
  <c r="AB104" i="8"/>
  <c r="AB116" i="8"/>
  <c r="AB93" i="8"/>
  <c r="AB101" i="8"/>
  <c r="AB58" i="8"/>
  <c r="AB46" i="8"/>
  <c r="AB96" i="8"/>
  <c r="AB20" i="8"/>
  <c r="AB91" i="8"/>
  <c r="AB79" i="8"/>
  <c r="AB60" i="8"/>
  <c r="AB67" i="8"/>
  <c r="AB11" i="8"/>
  <c r="AB107" i="8"/>
  <c r="AB94" i="8"/>
  <c r="AB57" i="8"/>
  <c r="AB35" i="8"/>
  <c r="AB41" i="8"/>
  <c r="AB22" i="8"/>
  <c r="AB81" i="8"/>
  <c r="AB34" i="8"/>
  <c r="AB78" i="8"/>
  <c r="AB25" i="8"/>
  <c r="AB24" i="8"/>
  <c r="AB113" i="8"/>
  <c r="AB97" i="8"/>
  <c r="AB61" i="8"/>
  <c r="AB84" i="8"/>
  <c r="AB10" i="8"/>
  <c r="AB82" i="8"/>
  <c r="AB14" i="8"/>
  <c r="AB50" i="8"/>
  <c r="AB115" i="8"/>
  <c r="AB69" i="8"/>
  <c r="AB100" i="8"/>
  <c r="AB73" i="8"/>
  <c r="AJ138" i="16"/>
  <c r="AK57" i="16"/>
  <c r="AK277" i="16" s="1"/>
  <c r="AJ182" i="16"/>
  <c r="AJ243" i="16"/>
  <c r="AJ236" i="16"/>
  <c r="AJ249" i="12"/>
  <c r="AJ215" i="12"/>
  <c r="AK9" i="12"/>
  <c r="AJ265" i="12"/>
  <c r="AJ196" i="12"/>
  <c r="AI2" i="17"/>
  <c r="AH46" i="17"/>
  <c r="AH58" i="17"/>
  <c r="AI193" i="16"/>
  <c r="AI136" i="16"/>
  <c r="AI49" i="17"/>
  <c r="AJ281" i="16"/>
  <c r="AI217" i="16"/>
  <c r="AI218" i="16"/>
  <c r="AI137" i="16"/>
  <c r="AI47" i="17" s="1"/>
  <c r="AI150" i="16"/>
  <c r="AI67" i="16"/>
  <c r="AI51" i="17" s="1"/>
  <c r="AI68" i="16"/>
  <c r="AI52" i="17" s="1"/>
  <c r="AI247" i="16"/>
  <c r="AJ280" i="16"/>
  <c r="AI48" i="17"/>
  <c r="AI252" i="16"/>
  <c r="AI255" i="16" s="1"/>
  <c r="AJ7" i="33"/>
  <c r="AJ69" i="16"/>
  <c r="AJ53" i="17" s="1"/>
  <c r="AJ70" i="16"/>
  <c r="AJ54" i="17" s="1"/>
  <c r="AJ4" i="33"/>
  <c r="AJ8" i="33"/>
  <c r="AJ3" i="33"/>
  <c r="AJ5" i="33"/>
  <c r="AJ76" i="16"/>
  <c r="AJ71" i="16"/>
  <c r="AJ55" i="17" s="1"/>
  <c r="AJ114" i="16"/>
  <c r="AJ112" i="16"/>
  <c r="AJ162" i="16" s="1"/>
  <c r="AJ72" i="16"/>
  <c r="AJ56" i="17" s="1"/>
  <c r="AJ116" i="16"/>
  <c r="AK9" i="16"/>
  <c r="AJ73" i="16"/>
  <c r="AJ75" i="16"/>
  <c r="AJ111" i="16"/>
  <c r="AJ65" i="16"/>
  <c r="AJ249" i="16"/>
  <c r="AJ196" i="16"/>
  <c r="AJ63" i="16"/>
  <c r="AJ50" i="17" s="1"/>
  <c r="AJ66" i="16"/>
  <c r="AJ215" i="16"/>
  <c r="AJ115" i="16"/>
  <c r="AJ64" i="16"/>
  <c r="AJ74" i="16"/>
  <c r="AJ61" i="16"/>
  <c r="AJ265" i="16"/>
  <c r="AJ46" i="16"/>
  <c r="AJ110" i="16"/>
  <c r="AJ60" i="16"/>
  <c r="AC99" i="8" l="1"/>
  <c r="AC75" i="8"/>
  <c r="AC32" i="8"/>
  <c r="AC102" i="8"/>
  <c r="AC76" i="8"/>
  <c r="AC39" i="8"/>
  <c r="AC63" i="8"/>
  <c r="AC93" i="8"/>
  <c r="AC51" i="8"/>
  <c r="AC62" i="8"/>
  <c r="AC108" i="8"/>
  <c r="AC67" i="8"/>
  <c r="AC27" i="8"/>
  <c r="AC14" i="8"/>
  <c r="AC34" i="8"/>
  <c r="AC105" i="8"/>
  <c r="AC46" i="8"/>
  <c r="AC64" i="8"/>
  <c r="AC71" i="8"/>
  <c r="AC23" i="8"/>
  <c r="AC40" i="8"/>
  <c r="AC20" i="8"/>
  <c r="AC19" i="8"/>
  <c r="AC112" i="8"/>
  <c r="AC12" i="8"/>
  <c r="AC101" i="8"/>
  <c r="AC36" i="8"/>
  <c r="AC97" i="8"/>
  <c r="AC66" i="8"/>
  <c r="AC24" i="8"/>
  <c r="AC91" i="8"/>
  <c r="AC60" i="8"/>
  <c r="AC26" i="8"/>
  <c r="AC106" i="8"/>
  <c r="AC74" i="8"/>
  <c r="AC33" i="8"/>
  <c r="AC37" i="8"/>
  <c r="AC90" i="8"/>
  <c r="AC69" i="8"/>
  <c r="AC17" i="8"/>
  <c r="AC92" i="8"/>
  <c r="AC11" i="8"/>
  <c r="AC95" i="8"/>
  <c r="AC28" i="8"/>
  <c r="AC70" i="8"/>
  <c r="AC113" i="8"/>
  <c r="AC107" i="8"/>
  <c r="AC98" i="8"/>
  <c r="AC114" i="8"/>
  <c r="AD9" i="8"/>
  <c r="AC87" i="8"/>
  <c r="AC103" i="8"/>
  <c r="AC82" i="8"/>
  <c r="AC31" i="8"/>
  <c r="AC84" i="8"/>
  <c r="AC54" i="8"/>
  <c r="AC21" i="8"/>
  <c r="AC96" i="8"/>
  <c r="AC52" i="8"/>
  <c r="AC16" i="8"/>
  <c r="AC109" i="8"/>
  <c r="AC68" i="8"/>
  <c r="AC55" i="8"/>
  <c r="AC30" i="8"/>
  <c r="AC80" i="8"/>
  <c r="AC35" i="8"/>
  <c r="AC15" i="8"/>
  <c r="AC89" i="8"/>
  <c r="AC29" i="8"/>
  <c r="AC65" i="8"/>
  <c r="AC116" i="8"/>
  <c r="AC45" i="8"/>
  <c r="AC83" i="8"/>
  <c r="AC86" i="8"/>
  <c r="AC77" i="8"/>
  <c r="AC88" i="8"/>
  <c r="AC79" i="8"/>
  <c r="AC53" i="8"/>
  <c r="AC43" i="8"/>
  <c r="AC78" i="8"/>
  <c r="AC38" i="8"/>
  <c r="AC47" i="8"/>
  <c r="AC13" i="8"/>
  <c r="AC104" i="8"/>
  <c r="AC72" i="8"/>
  <c r="AC10" i="8"/>
  <c r="AC56" i="8"/>
  <c r="AC42" i="8"/>
  <c r="AC58" i="8"/>
  <c r="AC100" i="8"/>
  <c r="AC73" i="8"/>
  <c r="AC111" i="8"/>
  <c r="AC41" i="8"/>
  <c r="AC25" i="8"/>
  <c r="AC110" i="8"/>
  <c r="AC81" i="8"/>
  <c r="AC61" i="8"/>
  <c r="AC57" i="8"/>
  <c r="AC48" i="8"/>
  <c r="AC59" i="8"/>
  <c r="AC18" i="8"/>
  <c r="AC22" i="8"/>
  <c r="AC85" i="8"/>
  <c r="AC94" i="8"/>
  <c r="AC49" i="8"/>
  <c r="AC50" i="8"/>
  <c r="AC44" i="8"/>
  <c r="AC115" i="8"/>
  <c r="AK236" i="16"/>
  <c r="AK182" i="16"/>
  <c r="AK243" i="16"/>
  <c r="AL57" i="16"/>
  <c r="AK138" i="16"/>
  <c r="AI46" i="17"/>
  <c r="AI58" i="17"/>
  <c r="AJ2" i="17"/>
  <c r="AK196" i="12"/>
  <c r="AK215" i="12"/>
  <c r="AL9" i="12"/>
  <c r="AK265" i="12"/>
  <c r="AK249" i="12"/>
  <c r="AJ193" i="16"/>
  <c r="AJ218" i="16"/>
  <c r="AJ137" i="16"/>
  <c r="AJ47" i="17" s="1"/>
  <c r="AJ217" i="16"/>
  <c r="AJ68" i="16"/>
  <c r="AJ52" i="17" s="1"/>
  <c r="AJ67" i="16"/>
  <c r="AJ51" i="17" s="1"/>
  <c r="AJ150" i="16"/>
  <c r="AK4" i="33"/>
  <c r="AK8" i="33"/>
  <c r="AK69" i="16"/>
  <c r="AK53" i="17" s="1"/>
  <c r="AK3" i="33"/>
  <c r="AK5" i="33"/>
  <c r="AK70" i="16"/>
  <c r="AK54" i="17" s="1"/>
  <c r="AK7" i="33"/>
  <c r="AK249" i="16"/>
  <c r="AK115" i="16"/>
  <c r="AK196" i="16"/>
  <c r="AK61" i="16"/>
  <c r="AK75" i="16"/>
  <c r="AK110" i="16"/>
  <c r="AK66" i="16"/>
  <c r="AK74" i="16"/>
  <c r="AK64" i="16"/>
  <c r="AK76" i="16"/>
  <c r="AK265" i="16"/>
  <c r="AK71" i="16"/>
  <c r="AK55" i="17" s="1"/>
  <c r="AK114" i="16"/>
  <c r="AK111" i="16"/>
  <c r="AK65" i="16"/>
  <c r="AK73" i="16"/>
  <c r="AL9" i="16"/>
  <c r="AK60" i="16"/>
  <c r="AK72" i="16"/>
  <c r="AK56" i="17" s="1"/>
  <c r="AK215" i="16"/>
  <c r="AK112" i="16"/>
  <c r="AK162" i="16" s="1"/>
  <c r="AK116" i="16"/>
  <c r="AK63" i="16"/>
  <c r="AK50" i="17" s="1"/>
  <c r="AK46" i="16"/>
  <c r="AJ48" i="17"/>
  <c r="AK280" i="16"/>
  <c r="AJ247" i="16"/>
  <c r="AJ252" i="16"/>
  <c r="AJ255" i="16" s="1"/>
  <c r="AJ136" i="16"/>
  <c r="AK281" i="16"/>
  <c r="AJ49" i="17"/>
  <c r="AD100" i="8" l="1"/>
  <c r="AD75" i="8"/>
  <c r="AD64" i="8"/>
  <c r="AD105" i="8"/>
  <c r="AD72" i="8"/>
  <c r="AD69" i="8"/>
  <c r="AD103" i="8"/>
  <c r="AD55" i="8"/>
  <c r="AD16" i="8"/>
  <c r="AD115" i="8"/>
  <c r="AD59" i="8"/>
  <c r="AD43" i="8"/>
  <c r="AD80" i="8"/>
  <c r="AD22" i="8"/>
  <c r="AD94" i="8"/>
  <c r="AD51" i="8"/>
  <c r="AD87" i="8"/>
  <c r="AD21" i="8"/>
  <c r="AD71" i="8"/>
  <c r="AD83" i="8"/>
  <c r="AD29" i="8"/>
  <c r="AD33" i="8"/>
  <c r="AD97" i="8"/>
  <c r="AD12" i="8"/>
  <c r="AD111" i="8"/>
  <c r="AD112" i="8"/>
  <c r="AD77" i="8"/>
  <c r="AD93" i="8"/>
  <c r="AD68" i="8"/>
  <c r="AD37" i="8"/>
  <c r="AD108" i="8"/>
  <c r="AD76" i="8"/>
  <c r="AD26" i="8"/>
  <c r="AD89" i="8"/>
  <c r="AD41" i="8"/>
  <c r="AD45" i="8"/>
  <c r="AD95" i="8"/>
  <c r="AD60" i="8"/>
  <c r="AD113" i="8"/>
  <c r="AD67" i="8"/>
  <c r="AD13" i="8"/>
  <c r="AD70" i="8"/>
  <c r="AE9" i="8"/>
  <c r="AD73" i="8"/>
  <c r="AD109" i="8"/>
  <c r="AD15" i="8"/>
  <c r="AD62" i="8"/>
  <c r="AD107" i="8"/>
  <c r="AD30" i="8"/>
  <c r="AD81" i="8"/>
  <c r="AD96" i="8"/>
  <c r="AD24" i="8"/>
  <c r="AD10" i="8"/>
  <c r="AD42" i="8"/>
  <c r="AD84" i="8"/>
  <c r="AD40" i="8"/>
  <c r="AD20" i="8"/>
  <c r="AD106" i="8"/>
  <c r="AD56" i="8"/>
  <c r="AD110" i="8"/>
  <c r="AD78" i="8"/>
  <c r="AD47" i="8"/>
  <c r="AD19" i="8"/>
  <c r="AD92" i="8"/>
  <c r="AD39" i="8"/>
  <c r="AD91" i="8"/>
  <c r="AD32" i="8"/>
  <c r="AD102" i="8"/>
  <c r="AD34" i="8"/>
  <c r="AD31" i="8"/>
  <c r="AD50" i="8"/>
  <c r="AD86" i="8"/>
  <c r="AD27" i="8"/>
  <c r="AD58" i="8"/>
  <c r="AD88" i="8"/>
  <c r="AD57" i="8"/>
  <c r="AD49" i="8"/>
  <c r="AD63" i="8"/>
  <c r="AD99" i="8"/>
  <c r="AD82" i="8"/>
  <c r="AD48" i="8"/>
  <c r="AD65" i="8"/>
  <c r="AD85" i="8"/>
  <c r="AD28" i="8"/>
  <c r="AD46" i="8"/>
  <c r="AD114" i="8"/>
  <c r="AD17" i="8"/>
  <c r="AD101" i="8"/>
  <c r="AD79" i="8"/>
  <c r="AD35" i="8"/>
  <c r="AD90" i="8"/>
  <c r="AD116" i="8"/>
  <c r="AD14" i="8"/>
  <c r="AD38" i="8"/>
  <c r="AD74" i="8"/>
  <c r="AD53" i="8"/>
  <c r="AD52" i="8"/>
  <c r="AD25" i="8"/>
  <c r="AD23" i="8"/>
  <c r="AD54" i="8"/>
  <c r="AD36" i="8"/>
  <c r="AD44" i="8"/>
  <c r="AD61" i="8"/>
  <c r="AD104" i="8"/>
  <c r="AD11" i="8"/>
  <c r="AD66" i="8"/>
  <c r="AD18" i="8"/>
  <c r="AD98" i="8"/>
  <c r="AL243" i="16"/>
  <c r="AM57" i="16"/>
  <c r="AM138" i="16" s="1"/>
  <c r="AL236" i="16"/>
  <c r="AL182" i="16"/>
  <c r="AL277" i="16"/>
  <c r="AL138" i="16"/>
  <c r="AM9" i="12"/>
  <c r="AL265" i="12"/>
  <c r="AL215" i="12"/>
  <c r="AL196" i="12"/>
  <c r="AL249" i="12"/>
  <c r="AK2" i="17"/>
  <c r="AJ46" i="17"/>
  <c r="AJ58" i="17"/>
  <c r="AL69" i="16"/>
  <c r="AL53" i="17" s="1"/>
  <c r="AL4" i="33"/>
  <c r="AL8" i="33"/>
  <c r="AL70" i="16"/>
  <c r="AL54" i="17" s="1"/>
  <c r="AL3" i="33"/>
  <c r="AL5" i="33"/>
  <c r="AL7" i="33"/>
  <c r="AL265" i="16"/>
  <c r="AL110" i="16"/>
  <c r="AL215" i="16"/>
  <c r="AL196" i="16"/>
  <c r="AL73" i="16"/>
  <c r="AL63" i="16"/>
  <c r="AL50" i="17" s="1"/>
  <c r="AL72" i="16"/>
  <c r="AL56" i="17" s="1"/>
  <c r="AL74" i="16"/>
  <c r="AL65" i="16"/>
  <c r="AM9" i="16"/>
  <c r="AL76" i="16"/>
  <c r="AL116" i="16"/>
  <c r="AL112" i="16"/>
  <c r="AL162" i="16" s="1"/>
  <c r="AL115" i="16"/>
  <c r="AL66" i="16"/>
  <c r="AL75" i="16"/>
  <c r="AL71" i="16"/>
  <c r="AL55" i="17" s="1"/>
  <c r="AL111" i="16"/>
  <c r="AL46" i="16"/>
  <c r="AL249" i="16"/>
  <c r="AL114" i="16"/>
  <c r="AL60" i="16"/>
  <c r="AL64" i="16"/>
  <c r="AL61" i="16"/>
  <c r="AK48" i="17"/>
  <c r="AL280" i="16"/>
  <c r="AK247" i="16"/>
  <c r="AK252" i="16"/>
  <c r="AK255" i="16" s="1"/>
  <c r="AK68" i="16"/>
  <c r="AK52" i="17" s="1"/>
  <c r="AK150" i="16"/>
  <c r="AK67" i="16"/>
  <c r="AK51" i="17" s="1"/>
  <c r="AK193" i="16"/>
  <c r="AK137" i="16"/>
  <c r="AK47" i="17" s="1"/>
  <c r="AK218" i="16"/>
  <c r="AK217" i="16"/>
  <c r="AK49" i="17"/>
  <c r="AL281" i="16"/>
  <c r="AK136" i="16"/>
  <c r="AE107" i="8" l="1"/>
  <c r="AE69" i="8"/>
  <c r="AE35" i="8"/>
  <c r="AE89" i="8"/>
  <c r="AE58" i="8"/>
  <c r="AE104" i="8"/>
  <c r="AE87" i="8"/>
  <c r="AE74" i="8"/>
  <c r="AE105" i="8"/>
  <c r="AE48" i="8"/>
  <c r="AE11" i="8"/>
  <c r="AE93" i="8"/>
  <c r="AE51" i="8"/>
  <c r="AE90" i="8"/>
  <c r="AE16" i="8"/>
  <c r="AE77" i="8"/>
  <c r="AE19" i="8"/>
  <c r="AE66" i="8"/>
  <c r="AE109" i="8"/>
  <c r="AE43" i="8"/>
  <c r="AE73" i="8"/>
  <c r="AE78" i="8"/>
  <c r="AE14" i="8"/>
  <c r="AE29" i="8"/>
  <c r="AE111" i="8"/>
  <c r="AE99" i="8"/>
  <c r="AE65" i="8"/>
  <c r="AE96" i="8"/>
  <c r="AE54" i="8"/>
  <c r="AE56" i="8"/>
  <c r="AE71" i="8"/>
  <c r="AE47" i="8"/>
  <c r="AE98" i="8"/>
  <c r="AE53" i="8"/>
  <c r="AE13" i="8"/>
  <c r="AE91" i="8"/>
  <c r="AE45" i="8"/>
  <c r="AE12" i="8"/>
  <c r="AE62" i="8"/>
  <c r="AE42" i="8"/>
  <c r="AE83" i="8"/>
  <c r="AE27" i="8"/>
  <c r="AE57" i="8"/>
  <c r="AE112" i="8"/>
  <c r="AE52" i="8"/>
  <c r="AE94" i="8"/>
  <c r="AE37" i="8"/>
  <c r="AE17" i="8"/>
  <c r="AE75" i="8"/>
  <c r="AE30" i="8"/>
  <c r="AE39" i="8"/>
  <c r="AE38" i="8"/>
  <c r="AE21" i="8"/>
  <c r="AE10" i="8"/>
  <c r="AE92" i="8"/>
  <c r="AE33" i="8"/>
  <c r="AE115" i="8"/>
  <c r="AE76" i="8"/>
  <c r="AE61" i="8"/>
  <c r="AE86" i="8"/>
  <c r="AE46" i="8"/>
  <c r="AE20" i="8"/>
  <c r="AE79" i="8"/>
  <c r="AE24" i="8"/>
  <c r="AE100" i="8"/>
  <c r="AE67" i="8"/>
  <c r="AE34" i="8"/>
  <c r="AE55" i="8"/>
  <c r="AE113" i="8"/>
  <c r="AE63" i="8"/>
  <c r="AE103" i="8"/>
  <c r="AE15" i="8"/>
  <c r="AE70" i="8"/>
  <c r="AF9" i="8"/>
  <c r="AE18" i="8"/>
  <c r="AE41" i="8"/>
  <c r="AE85" i="8"/>
  <c r="AE116" i="8"/>
  <c r="AE95" i="8"/>
  <c r="AE82" i="8"/>
  <c r="AE68" i="8"/>
  <c r="AE110" i="8"/>
  <c r="AE88" i="8"/>
  <c r="AE101" i="8"/>
  <c r="AE50" i="8"/>
  <c r="AE23" i="8"/>
  <c r="AE114" i="8"/>
  <c r="AE60" i="8"/>
  <c r="AE80" i="8"/>
  <c r="AE44" i="8"/>
  <c r="AE59" i="8"/>
  <c r="AE28" i="8"/>
  <c r="AE84" i="8"/>
  <c r="AE108" i="8"/>
  <c r="AE72" i="8"/>
  <c r="AE64" i="8"/>
  <c r="AE81" i="8"/>
  <c r="AE22" i="8"/>
  <c r="AE31" i="8"/>
  <c r="AE36" i="8"/>
  <c r="AE32" i="8"/>
  <c r="AE26" i="8"/>
  <c r="AE25" i="8"/>
  <c r="AE40" i="8"/>
  <c r="AE102" i="8"/>
  <c r="AE97" i="8"/>
  <c r="AE49" i="8"/>
  <c r="AE106" i="8"/>
  <c r="AM277" i="16"/>
  <c r="AN57" i="16"/>
  <c r="AN138" i="16" s="1"/>
  <c r="AM182" i="16"/>
  <c r="AM243" i="16"/>
  <c r="AM236" i="16"/>
  <c r="AK58" i="17"/>
  <c r="AK46" i="17"/>
  <c r="AL2" i="17"/>
  <c r="AM265" i="12"/>
  <c r="AN9" i="12"/>
  <c r="AM249" i="12"/>
  <c r="AM215" i="12"/>
  <c r="AM196" i="12"/>
  <c r="AM280" i="16"/>
  <c r="AL48" i="17"/>
  <c r="AL247" i="16"/>
  <c r="AL252" i="16"/>
  <c r="AL255" i="16" s="1"/>
  <c r="AL68" i="16"/>
  <c r="AL52" i="17" s="1"/>
  <c r="AL67" i="16"/>
  <c r="AL51" i="17" s="1"/>
  <c r="AL150" i="16"/>
  <c r="AM3" i="33"/>
  <c r="AM5" i="33"/>
  <c r="AM69" i="16"/>
  <c r="AM53" i="17" s="1"/>
  <c r="AM7" i="33"/>
  <c r="AM70" i="16"/>
  <c r="AM54" i="17" s="1"/>
  <c r="AM4" i="33"/>
  <c r="AM8" i="33"/>
  <c r="AM215" i="16"/>
  <c r="AM61" i="16"/>
  <c r="AM60" i="16"/>
  <c r="AM71" i="16"/>
  <c r="AM55" i="17" s="1"/>
  <c r="AM46" i="16"/>
  <c r="AM66" i="16"/>
  <c r="AM63" i="16"/>
  <c r="AM50" i="17" s="1"/>
  <c r="AM114" i="16"/>
  <c r="AM73" i="16"/>
  <c r="AM64" i="16"/>
  <c r="AM74" i="16"/>
  <c r="AM112" i="16"/>
  <c r="AM162" i="16" s="1"/>
  <c r="AM76" i="16"/>
  <c r="AM116" i="16"/>
  <c r="AM65" i="16"/>
  <c r="AM75" i="16"/>
  <c r="AM115" i="16"/>
  <c r="AM249" i="16"/>
  <c r="AM111" i="16"/>
  <c r="AN9" i="16"/>
  <c r="AM196" i="16"/>
  <c r="AM72" i="16"/>
  <c r="AM56" i="17" s="1"/>
  <c r="AM265" i="16"/>
  <c r="AM110" i="16"/>
  <c r="AL193" i="16"/>
  <c r="AL136" i="16"/>
  <c r="AL49" i="17"/>
  <c r="AM281" i="16"/>
  <c r="AL218" i="16"/>
  <c r="AL137" i="16"/>
  <c r="AL47" i="17" s="1"/>
  <c r="AL217" i="16"/>
  <c r="AF99" i="8" l="1"/>
  <c r="AF98" i="8"/>
  <c r="AF41" i="8"/>
  <c r="AF27" i="8"/>
  <c r="AF83" i="8"/>
  <c r="AF39" i="8"/>
  <c r="AF28" i="8"/>
  <c r="AF90" i="8"/>
  <c r="AF60" i="8"/>
  <c r="AF34" i="8"/>
  <c r="AF96" i="8"/>
  <c r="AF66" i="8"/>
  <c r="AF108" i="8"/>
  <c r="AF40" i="8"/>
  <c r="AF25" i="8"/>
  <c r="AF62" i="8"/>
  <c r="AF31" i="8"/>
  <c r="AF54" i="8"/>
  <c r="AF35" i="8"/>
  <c r="AF43" i="8"/>
  <c r="AF80" i="8"/>
  <c r="AF73" i="8"/>
  <c r="AF51" i="8"/>
  <c r="AF107" i="8"/>
  <c r="AF45" i="8"/>
  <c r="AF23" i="8"/>
  <c r="AF71" i="8"/>
  <c r="AF102" i="8"/>
  <c r="AF63" i="8"/>
  <c r="AF10" i="8"/>
  <c r="AF115" i="8"/>
  <c r="AF93" i="8"/>
  <c r="AF65" i="8"/>
  <c r="AF11" i="8"/>
  <c r="AF77" i="8"/>
  <c r="AF46" i="8"/>
  <c r="AF12" i="8"/>
  <c r="AF78" i="8"/>
  <c r="AF15" i="8"/>
  <c r="AF101" i="8"/>
  <c r="AF55" i="8"/>
  <c r="AF114" i="8"/>
  <c r="AF50" i="8"/>
  <c r="AF106" i="8"/>
  <c r="AF67" i="8"/>
  <c r="AF89" i="8"/>
  <c r="AF113" i="8"/>
  <c r="AF38" i="8"/>
  <c r="AF112" i="8"/>
  <c r="AF116" i="8"/>
  <c r="AF47" i="8"/>
  <c r="AF110" i="8"/>
  <c r="AF18" i="8"/>
  <c r="AF36" i="8"/>
  <c r="AF84" i="8"/>
  <c r="AF32" i="8"/>
  <c r="AF13" i="8"/>
  <c r="AF97" i="8"/>
  <c r="AF64" i="8"/>
  <c r="AF16" i="8"/>
  <c r="AF100" i="8"/>
  <c r="AF69" i="8"/>
  <c r="AF44" i="8"/>
  <c r="AF19" i="8"/>
  <c r="AF81" i="8"/>
  <c r="AF20" i="8"/>
  <c r="AF87" i="8"/>
  <c r="AF37" i="8"/>
  <c r="AF95" i="8"/>
  <c r="AF74" i="8"/>
  <c r="AF85" i="8"/>
  <c r="AF33" i="8"/>
  <c r="AF61" i="8"/>
  <c r="AF92" i="8"/>
  <c r="AF24" i="8"/>
  <c r="AF104" i="8"/>
  <c r="AF88" i="8"/>
  <c r="AF17" i="8"/>
  <c r="AF56" i="8"/>
  <c r="AF82" i="8"/>
  <c r="AF57" i="8"/>
  <c r="AF76" i="8"/>
  <c r="AF58" i="8"/>
  <c r="AF42" i="8"/>
  <c r="AF72" i="8"/>
  <c r="AF79" i="8"/>
  <c r="AF21" i="8"/>
  <c r="AF91" i="8"/>
  <c r="AF52" i="8"/>
  <c r="AF14" i="8"/>
  <c r="AF109" i="8"/>
  <c r="AF53" i="8"/>
  <c r="AF29" i="8"/>
  <c r="AF68" i="8"/>
  <c r="AF70" i="8"/>
  <c r="AF26" i="8"/>
  <c r="AF105" i="8"/>
  <c r="AF48" i="8"/>
  <c r="AF86" i="8"/>
  <c r="AF30" i="8"/>
  <c r="AF49" i="8"/>
  <c r="AG9" i="8"/>
  <c r="AF111" i="8"/>
  <c r="AF22" i="8"/>
  <c r="AF94" i="8"/>
  <c r="AF75" i="8"/>
  <c r="AF59" i="8"/>
  <c r="AF103" i="8"/>
  <c r="AO57" i="16"/>
  <c r="AO277" i="16" s="1"/>
  <c r="AN182" i="16"/>
  <c r="AN243" i="16"/>
  <c r="AN236" i="16"/>
  <c r="AN277" i="16"/>
  <c r="AM193" i="16"/>
  <c r="AO9" i="12"/>
  <c r="AN215" i="12"/>
  <c r="AN196" i="12"/>
  <c r="AN249" i="12"/>
  <c r="AN265" i="12"/>
  <c r="AL58" i="17"/>
  <c r="AL46" i="17"/>
  <c r="AM2" i="17"/>
  <c r="AM218" i="16"/>
  <c r="AM217" i="16"/>
  <c r="AM137" i="16"/>
  <c r="AM47" i="17" s="1"/>
  <c r="AM150" i="16"/>
  <c r="AM67" i="16"/>
  <c r="AM51" i="17" s="1"/>
  <c r="AM68" i="16"/>
  <c r="AM52" i="17" s="1"/>
  <c r="AN280" i="16"/>
  <c r="AM48" i="17"/>
  <c r="AM247" i="16"/>
  <c r="AM252" i="16"/>
  <c r="AM255" i="16" s="1"/>
  <c r="AN70" i="16"/>
  <c r="AN54" i="17" s="1"/>
  <c r="AN7" i="33"/>
  <c r="AN4" i="33"/>
  <c r="AN8" i="33"/>
  <c r="AN69" i="16"/>
  <c r="AN53" i="17" s="1"/>
  <c r="AN3" i="33"/>
  <c r="AN5" i="33"/>
  <c r="AN76" i="16"/>
  <c r="AN265" i="16"/>
  <c r="AN249" i="16"/>
  <c r="AN110" i="16"/>
  <c r="AN74" i="16"/>
  <c r="AN71" i="16"/>
  <c r="AN55" i="17" s="1"/>
  <c r="AN46" i="16"/>
  <c r="AN65" i="16"/>
  <c r="AN72" i="16"/>
  <c r="AN56" i="17" s="1"/>
  <c r="AN63" i="16"/>
  <c r="AN50" i="17" s="1"/>
  <c r="AN116" i="16"/>
  <c r="AN66" i="16"/>
  <c r="AN61" i="16"/>
  <c r="AN111" i="16"/>
  <c r="AN196" i="16"/>
  <c r="AN215" i="16"/>
  <c r="AN75" i="16"/>
  <c r="AN114" i="16"/>
  <c r="AN73" i="16"/>
  <c r="AN60" i="16"/>
  <c r="AN112" i="16"/>
  <c r="AN162" i="16" s="1"/>
  <c r="AO9" i="16"/>
  <c r="AN64" i="16"/>
  <c r="AN115" i="16"/>
  <c r="AM136" i="16"/>
  <c r="AM49" i="17"/>
  <c r="AN281" i="16"/>
  <c r="AG103" i="8" l="1"/>
  <c r="AG81" i="8"/>
  <c r="AG42" i="8"/>
  <c r="AG16" i="8"/>
  <c r="AG89" i="8"/>
  <c r="AG38" i="8"/>
  <c r="AG27" i="8"/>
  <c r="AG84" i="8"/>
  <c r="AG29" i="8"/>
  <c r="AG107" i="8"/>
  <c r="AG53" i="8"/>
  <c r="AH9" i="8"/>
  <c r="AG91" i="8"/>
  <c r="AG62" i="8"/>
  <c r="AG105" i="8"/>
  <c r="AG70" i="8"/>
  <c r="AG19" i="8"/>
  <c r="AG77" i="8"/>
  <c r="AG73" i="8"/>
  <c r="AG111" i="8"/>
  <c r="AG92" i="8"/>
  <c r="AG90" i="8"/>
  <c r="AG87" i="8"/>
  <c r="AG113" i="8"/>
  <c r="AG94" i="8"/>
  <c r="AG37" i="8"/>
  <c r="AG51" i="8"/>
  <c r="AG93" i="8"/>
  <c r="AG56" i="8"/>
  <c r="AG13" i="8"/>
  <c r="AG99" i="8"/>
  <c r="AG71" i="8"/>
  <c r="AG44" i="8"/>
  <c r="AG33" i="8"/>
  <c r="AG76" i="8"/>
  <c r="AG61" i="8"/>
  <c r="AG101" i="8"/>
  <c r="AG67" i="8"/>
  <c r="AG40" i="8"/>
  <c r="AG68" i="8"/>
  <c r="AG14" i="8"/>
  <c r="AG116" i="8"/>
  <c r="AG69" i="8"/>
  <c r="AG41" i="8"/>
  <c r="AG85" i="8"/>
  <c r="AG48" i="8"/>
  <c r="AG64" i="8"/>
  <c r="AG47" i="8"/>
  <c r="AG39" i="8"/>
  <c r="AG46" i="8"/>
  <c r="AG86" i="8"/>
  <c r="AG32" i="8"/>
  <c r="AG35" i="8"/>
  <c r="AG25" i="8"/>
  <c r="AG88" i="8"/>
  <c r="AG57" i="8"/>
  <c r="AG58" i="8"/>
  <c r="AG96" i="8"/>
  <c r="AG74" i="8"/>
  <c r="AG15" i="8"/>
  <c r="AG108" i="8"/>
  <c r="AG63" i="8"/>
  <c r="AG12" i="8"/>
  <c r="AG83" i="8"/>
  <c r="AG55" i="8"/>
  <c r="AG106" i="8"/>
  <c r="AG65" i="8"/>
  <c r="AG80" i="8"/>
  <c r="AG78" i="8"/>
  <c r="AG43" i="8"/>
  <c r="AG112" i="8"/>
  <c r="AG54" i="8"/>
  <c r="AG11" i="8"/>
  <c r="AG23" i="8"/>
  <c r="AG34" i="8"/>
  <c r="AG28" i="8"/>
  <c r="AG20" i="8"/>
  <c r="AG45" i="8"/>
  <c r="AG109" i="8"/>
  <c r="AG100" i="8"/>
  <c r="AG72" i="8"/>
  <c r="AG66" i="8"/>
  <c r="AG36" i="8"/>
  <c r="AG97" i="8"/>
  <c r="AG24" i="8"/>
  <c r="AG52" i="8"/>
  <c r="AG115" i="8"/>
  <c r="AG82" i="8"/>
  <c r="AG26" i="8"/>
  <c r="AG102" i="8"/>
  <c r="AG22" i="8"/>
  <c r="AG79" i="8"/>
  <c r="AG18" i="8"/>
  <c r="AG49" i="8"/>
  <c r="AG114" i="8"/>
  <c r="AG98" i="8"/>
  <c r="AG31" i="8"/>
  <c r="AG95" i="8"/>
  <c r="AG21" i="8"/>
  <c r="AG10" i="8"/>
  <c r="AG30" i="8"/>
  <c r="AG75" i="8"/>
  <c r="AG104" i="8"/>
  <c r="AG50" i="8"/>
  <c r="AG110" i="8"/>
  <c r="AG17" i="8"/>
  <c r="AG60" i="8"/>
  <c r="AG59" i="8"/>
  <c r="AO236" i="16"/>
  <c r="AP57" i="16"/>
  <c r="AP138" i="16" s="1"/>
  <c r="AO243" i="16"/>
  <c r="AO182" i="16"/>
  <c r="AO138" i="16"/>
  <c r="AM58" i="17"/>
  <c r="AN2" i="17"/>
  <c r="AM46" i="17"/>
  <c r="AO249" i="12"/>
  <c r="AO215" i="12"/>
  <c r="AP9" i="12"/>
  <c r="AO265" i="12"/>
  <c r="AO196" i="12"/>
  <c r="AN48" i="17"/>
  <c r="AN247" i="16"/>
  <c r="AO280" i="16"/>
  <c r="AN252" i="16"/>
  <c r="AN255" i="16" s="1"/>
  <c r="AN193" i="16"/>
  <c r="AN136" i="16"/>
  <c r="AN49" i="17"/>
  <c r="AO281" i="16"/>
  <c r="AN68" i="16"/>
  <c r="AN52" i="17" s="1"/>
  <c r="AN67" i="16"/>
  <c r="AN51" i="17" s="1"/>
  <c r="AN150" i="16"/>
  <c r="AO69" i="16"/>
  <c r="AO53" i="17" s="1"/>
  <c r="AO70" i="16"/>
  <c r="AO54" i="17" s="1"/>
  <c r="AO4" i="33"/>
  <c r="AO8" i="33"/>
  <c r="AO3" i="33"/>
  <c r="AO5" i="33"/>
  <c r="AO7" i="33"/>
  <c r="AO112" i="16"/>
  <c r="AO162" i="16" s="1"/>
  <c r="AO72" i="16"/>
  <c r="AO56" i="17" s="1"/>
  <c r="AO265" i="16"/>
  <c r="AO215" i="16"/>
  <c r="AO63" i="16"/>
  <c r="AO50" i="17" s="1"/>
  <c r="AO116" i="16"/>
  <c r="AO65" i="16"/>
  <c r="AO114" i="16"/>
  <c r="AO74" i="16"/>
  <c r="AP9" i="16"/>
  <c r="AO64" i="16"/>
  <c r="AO71" i="16"/>
  <c r="AO55" i="17" s="1"/>
  <c r="AO115" i="16"/>
  <c r="AO249" i="16"/>
  <c r="AO75" i="16"/>
  <c r="AO76" i="16"/>
  <c r="AO66" i="16"/>
  <c r="AO196" i="16"/>
  <c r="AO111" i="16"/>
  <c r="AO60" i="16"/>
  <c r="AO61" i="16"/>
  <c r="AO110" i="16"/>
  <c r="AO46" i="16"/>
  <c r="AO73" i="16"/>
  <c r="AN217" i="16"/>
  <c r="AN137" i="16"/>
  <c r="AN47" i="17" s="1"/>
  <c r="AN218" i="16"/>
  <c r="AH110" i="8" l="1"/>
  <c r="AH62" i="8"/>
  <c r="AH13" i="8"/>
  <c r="AH109" i="8"/>
  <c r="AH96" i="8"/>
  <c r="AH45" i="8"/>
  <c r="AH32" i="8"/>
  <c r="AH77" i="8"/>
  <c r="AH43" i="8"/>
  <c r="AH111" i="8"/>
  <c r="AH52" i="8"/>
  <c r="AH10" i="8"/>
  <c r="AH76" i="8"/>
  <c r="AH48" i="8"/>
  <c r="AH114" i="8"/>
  <c r="AH59" i="8"/>
  <c r="AH27" i="8"/>
  <c r="AH87" i="8"/>
  <c r="AH44" i="8"/>
  <c r="AH106" i="8"/>
  <c r="AH113" i="8"/>
  <c r="AH95" i="8"/>
  <c r="AH93" i="8"/>
  <c r="AH78" i="8"/>
  <c r="AH31" i="8"/>
  <c r="AH65" i="8"/>
  <c r="AH69" i="8"/>
  <c r="AH98" i="8"/>
  <c r="AH60" i="8"/>
  <c r="AH19" i="8"/>
  <c r="AH102" i="8"/>
  <c r="AH90" i="8"/>
  <c r="AH53" i="8"/>
  <c r="AH35" i="8"/>
  <c r="AH80" i="8"/>
  <c r="AH28" i="8"/>
  <c r="AH97" i="8"/>
  <c r="AH57" i="8"/>
  <c r="AH25" i="8"/>
  <c r="AH79" i="8"/>
  <c r="AH12" i="8"/>
  <c r="AH94" i="8"/>
  <c r="AH66" i="8"/>
  <c r="AH24" i="8"/>
  <c r="AH88" i="8"/>
  <c r="AH34" i="8"/>
  <c r="AH100" i="8"/>
  <c r="AH85" i="8"/>
  <c r="AH81" i="8"/>
  <c r="AH67" i="8"/>
  <c r="AH92" i="8"/>
  <c r="AH116" i="8"/>
  <c r="AH21" i="8"/>
  <c r="AH39" i="8"/>
  <c r="AH104" i="8"/>
  <c r="AH38" i="8"/>
  <c r="AH41" i="8"/>
  <c r="AH108" i="8"/>
  <c r="AH64" i="8"/>
  <c r="AH29" i="8"/>
  <c r="AH105" i="8"/>
  <c r="AH63" i="8"/>
  <c r="AI9" i="8"/>
  <c r="AH86" i="8"/>
  <c r="AH42" i="8"/>
  <c r="AH101" i="8"/>
  <c r="AH71" i="8"/>
  <c r="AH49" i="8"/>
  <c r="AH82" i="8"/>
  <c r="AH37" i="8"/>
  <c r="AH107" i="8"/>
  <c r="AH73" i="8"/>
  <c r="AH11" i="8"/>
  <c r="AH55" i="8"/>
  <c r="AH30" i="8"/>
  <c r="AH36" i="8"/>
  <c r="AH51" i="8"/>
  <c r="AH70" i="8"/>
  <c r="AH50" i="8"/>
  <c r="AH23" i="8"/>
  <c r="AH61" i="8"/>
  <c r="AH47" i="8"/>
  <c r="AH99" i="8"/>
  <c r="AH20" i="8"/>
  <c r="AH75" i="8"/>
  <c r="AH16" i="8"/>
  <c r="AH17" i="8"/>
  <c r="AH112" i="8"/>
  <c r="AH103" i="8"/>
  <c r="AH68" i="8"/>
  <c r="AH83" i="8"/>
  <c r="AH14" i="8"/>
  <c r="AH26" i="8"/>
  <c r="AH22" i="8"/>
  <c r="AH74" i="8"/>
  <c r="AH72" i="8"/>
  <c r="AH15" i="8"/>
  <c r="AH46" i="8"/>
  <c r="AH115" i="8"/>
  <c r="AH18" i="8"/>
  <c r="AH91" i="8"/>
  <c r="AH40" i="8"/>
  <c r="AH33" i="8"/>
  <c r="AH84" i="8"/>
  <c r="AH89" i="8"/>
  <c r="AH54" i="8"/>
  <c r="AH58" i="8"/>
  <c r="AH56" i="8"/>
  <c r="AP182" i="16"/>
  <c r="AP243" i="16"/>
  <c r="AP236" i="16"/>
  <c r="AQ57" i="16"/>
  <c r="AQ138" i="16" s="1"/>
  <c r="AP277" i="16"/>
  <c r="AP196" i="12"/>
  <c r="AP249" i="12"/>
  <c r="AQ9" i="12"/>
  <c r="AP215" i="12"/>
  <c r="AP265" i="12"/>
  <c r="AN58" i="17"/>
  <c r="AN46" i="17"/>
  <c r="AO2" i="17"/>
  <c r="AO217" i="16"/>
  <c r="AO137" i="16"/>
  <c r="AO47" i="17" s="1"/>
  <c r="AO218" i="16"/>
  <c r="AO67" i="16"/>
  <c r="AO51" i="17" s="1"/>
  <c r="AO68" i="16"/>
  <c r="AO52" i="17" s="1"/>
  <c r="AO150" i="16"/>
  <c r="AO48" i="17"/>
  <c r="AO247" i="16"/>
  <c r="AP280" i="16"/>
  <c r="AO252" i="16"/>
  <c r="AO255" i="16" s="1"/>
  <c r="AO49" i="17"/>
  <c r="AO136" i="16"/>
  <c r="AP281" i="16"/>
  <c r="AP4" i="33"/>
  <c r="AP8" i="33"/>
  <c r="AP69" i="16"/>
  <c r="AP3" i="33"/>
  <c r="AP5" i="33"/>
  <c r="AP70" i="16"/>
  <c r="AP7" i="33"/>
  <c r="AP215" i="16"/>
  <c r="AP111" i="16"/>
  <c r="AP71" i="16"/>
  <c r="AP74" i="16"/>
  <c r="AP114" i="16"/>
  <c r="AQ9" i="16"/>
  <c r="AP112" i="16"/>
  <c r="AP162" i="16" s="1"/>
  <c r="AP196" i="16"/>
  <c r="AP73" i="16"/>
  <c r="AP110" i="16"/>
  <c r="AP193" i="16" s="1"/>
  <c r="AP265" i="16"/>
  <c r="AP66" i="16"/>
  <c r="AP72" i="16"/>
  <c r="AP64" i="16"/>
  <c r="AP116" i="16"/>
  <c r="AP61" i="16"/>
  <c r="AP63" i="16"/>
  <c r="AP249" i="16"/>
  <c r="AP46" i="16"/>
  <c r="AP115" i="16"/>
  <c r="AP60" i="16"/>
  <c r="AP75" i="16"/>
  <c r="AP76" i="16"/>
  <c r="AP65" i="16"/>
  <c r="AO193" i="16"/>
  <c r="AI98" i="8" l="1"/>
  <c r="AI61" i="8"/>
  <c r="AI88" i="8"/>
  <c r="AI85" i="8"/>
  <c r="AI104" i="8"/>
  <c r="AI50" i="8"/>
  <c r="AI53" i="8"/>
  <c r="AI86" i="8"/>
  <c r="AI45" i="8"/>
  <c r="AI26" i="8"/>
  <c r="AI95" i="8"/>
  <c r="AI41" i="8"/>
  <c r="AI111" i="8"/>
  <c r="AI67" i="8"/>
  <c r="AI25" i="8"/>
  <c r="AI75" i="8"/>
  <c r="AI34" i="8"/>
  <c r="AI108" i="8"/>
  <c r="AI84" i="8"/>
  <c r="AI11" i="8"/>
  <c r="AI93" i="8"/>
  <c r="AI59" i="8"/>
  <c r="AI22" i="8"/>
  <c r="AJ9" i="8"/>
  <c r="AI32" i="8"/>
  <c r="AI16" i="8"/>
  <c r="AI15" i="8"/>
  <c r="AI19" i="8"/>
  <c r="AI113" i="8"/>
  <c r="AI99" i="8"/>
  <c r="AI77" i="8"/>
  <c r="AI28" i="8"/>
  <c r="AI115" i="8"/>
  <c r="AI74" i="8"/>
  <c r="AI65" i="8"/>
  <c r="AI33" i="8"/>
  <c r="AI78" i="8"/>
  <c r="AI48" i="8"/>
  <c r="AI91" i="8"/>
  <c r="AI44" i="8"/>
  <c r="AI60" i="8"/>
  <c r="AI58" i="8"/>
  <c r="AI27" i="8"/>
  <c r="AI114" i="8"/>
  <c r="AI57" i="8"/>
  <c r="AI24" i="8"/>
  <c r="AI102" i="8"/>
  <c r="AI63" i="8"/>
  <c r="AI92" i="8"/>
  <c r="AI103" i="8"/>
  <c r="AI109" i="8"/>
  <c r="AI83" i="8"/>
  <c r="AI116" i="8"/>
  <c r="AI80" i="8"/>
  <c r="AI29" i="8"/>
  <c r="AI35" i="8"/>
  <c r="AI54" i="8"/>
  <c r="AI40" i="8"/>
  <c r="AI110" i="8"/>
  <c r="AI66" i="8"/>
  <c r="AI38" i="8"/>
  <c r="AI112" i="8"/>
  <c r="AI51" i="8"/>
  <c r="AI31" i="8"/>
  <c r="AI87" i="8"/>
  <c r="AI47" i="8"/>
  <c r="AI107" i="8"/>
  <c r="AI72" i="8"/>
  <c r="AI17" i="8"/>
  <c r="AI81" i="8"/>
  <c r="AI64" i="8"/>
  <c r="AI14" i="8"/>
  <c r="AI90" i="8"/>
  <c r="AI56" i="8"/>
  <c r="AI101" i="8"/>
  <c r="AI69" i="8"/>
  <c r="AI97" i="8"/>
  <c r="AI55" i="8"/>
  <c r="AI76" i="8"/>
  <c r="AI94" i="8"/>
  <c r="AI18" i="8"/>
  <c r="AI68" i="8"/>
  <c r="AI100" i="8"/>
  <c r="AI52" i="8"/>
  <c r="AI82" i="8"/>
  <c r="AI13" i="8"/>
  <c r="AI49" i="8"/>
  <c r="AI37" i="8"/>
  <c r="AI71" i="8"/>
  <c r="AI10" i="8"/>
  <c r="AI36" i="8"/>
  <c r="AI106" i="8"/>
  <c r="AI21" i="8"/>
  <c r="AI62" i="8"/>
  <c r="AI43" i="8"/>
  <c r="AI12" i="8"/>
  <c r="AI73" i="8"/>
  <c r="AI42" i="8"/>
  <c r="AI70" i="8"/>
  <c r="AI39" i="8"/>
  <c r="AI105" i="8"/>
  <c r="AI46" i="8"/>
  <c r="AI89" i="8"/>
  <c r="AI79" i="8"/>
  <c r="AI23" i="8"/>
  <c r="AI30" i="8"/>
  <c r="AI96" i="8"/>
  <c r="AI20" i="8"/>
  <c r="AQ277" i="16"/>
  <c r="AQ243" i="16"/>
  <c r="AQ236" i="16"/>
  <c r="AR57" i="16"/>
  <c r="AR138" i="16" s="1"/>
  <c r="AQ182" i="16"/>
  <c r="AQ265" i="12"/>
  <c r="AQ249" i="12"/>
  <c r="AQ215" i="12"/>
  <c r="AQ196" i="12"/>
  <c r="AR9" i="12"/>
  <c r="AP2" i="17"/>
  <c r="AO46" i="17"/>
  <c r="AO58" i="17"/>
  <c r="AP247" i="16"/>
  <c r="AQ280" i="16"/>
  <c r="AP252" i="16"/>
  <c r="AP255" i="16" s="1"/>
  <c r="AP217" i="16"/>
  <c r="AP137" i="16"/>
  <c r="AP218" i="16"/>
  <c r="AQ3" i="33"/>
  <c r="AQ5" i="33"/>
  <c r="AQ7" i="33"/>
  <c r="AQ69" i="16"/>
  <c r="AQ70" i="16"/>
  <c r="AQ4" i="33"/>
  <c r="AQ8" i="33"/>
  <c r="AQ111" i="16"/>
  <c r="AQ46" i="16"/>
  <c r="AQ249" i="16"/>
  <c r="AQ112" i="16"/>
  <c r="AQ162" i="16" s="1"/>
  <c r="AQ74" i="16"/>
  <c r="AQ110" i="16"/>
  <c r="AQ116" i="16"/>
  <c r="AQ73" i="16"/>
  <c r="AQ196" i="16"/>
  <c r="AQ115" i="16"/>
  <c r="AQ215" i="16"/>
  <c r="AQ72" i="16"/>
  <c r="AQ60" i="16"/>
  <c r="AQ265" i="16"/>
  <c r="AQ66" i="16"/>
  <c r="AQ65" i="16"/>
  <c r="AQ71" i="16"/>
  <c r="AQ63" i="16"/>
  <c r="AQ61" i="16"/>
  <c r="AQ114" i="16"/>
  <c r="AR9" i="16"/>
  <c r="AQ75" i="16"/>
  <c r="AQ76" i="16"/>
  <c r="AQ64" i="16"/>
  <c r="AP150" i="16"/>
  <c r="AP68" i="16"/>
  <c r="AP67" i="16"/>
  <c r="AQ281" i="16"/>
  <c r="AP136" i="16"/>
  <c r="AJ105" i="8" l="1"/>
  <c r="AJ79" i="8"/>
  <c r="AJ55" i="8"/>
  <c r="AJ13" i="8"/>
  <c r="AJ90" i="8"/>
  <c r="AJ52" i="8"/>
  <c r="AJ32" i="8"/>
  <c r="AJ95" i="8"/>
  <c r="AJ58" i="8"/>
  <c r="AJ30" i="8"/>
  <c r="AJ103" i="8"/>
  <c r="AJ83" i="8"/>
  <c r="AJ49" i="8"/>
  <c r="AJ21" i="8"/>
  <c r="AJ88" i="8"/>
  <c r="AJ54" i="8"/>
  <c r="AJ31" i="8"/>
  <c r="AJ77" i="8"/>
  <c r="AJ97" i="8"/>
  <c r="AJ45" i="8"/>
  <c r="AJ64" i="8"/>
  <c r="AJ113" i="8"/>
  <c r="AJ25" i="8"/>
  <c r="AJ96" i="8"/>
  <c r="AJ116" i="8"/>
  <c r="AJ66" i="8"/>
  <c r="AJ70" i="8"/>
  <c r="AJ106" i="8"/>
  <c r="AJ72" i="8"/>
  <c r="AJ46" i="8"/>
  <c r="AJ112" i="8"/>
  <c r="AJ73" i="8"/>
  <c r="AJ51" i="8"/>
  <c r="AJ41" i="8"/>
  <c r="AJ89" i="8"/>
  <c r="AJ44" i="8"/>
  <c r="AJ24" i="8"/>
  <c r="AJ108" i="8"/>
  <c r="AJ60" i="8"/>
  <c r="AJ12" i="8"/>
  <c r="AJ114" i="8"/>
  <c r="AJ75" i="8"/>
  <c r="AJ35" i="8"/>
  <c r="AJ22" i="8"/>
  <c r="AJ59" i="8"/>
  <c r="AJ65" i="8"/>
  <c r="AJ107" i="8"/>
  <c r="AJ26" i="8"/>
  <c r="AJ80" i="8"/>
  <c r="AJ74" i="8"/>
  <c r="AJ67" i="8"/>
  <c r="AJ48" i="8"/>
  <c r="AJ16" i="8"/>
  <c r="AJ40" i="8"/>
  <c r="AJ102" i="8"/>
  <c r="AJ50" i="8"/>
  <c r="AJ19" i="8"/>
  <c r="AJ93" i="8"/>
  <c r="AJ69" i="8"/>
  <c r="AJ39" i="8"/>
  <c r="AJ104" i="8"/>
  <c r="AJ78" i="8"/>
  <c r="AJ42" i="8"/>
  <c r="AJ15" i="8"/>
  <c r="AJ94" i="8"/>
  <c r="AJ61" i="8"/>
  <c r="AJ18" i="8"/>
  <c r="AJ110" i="8"/>
  <c r="AJ76" i="8"/>
  <c r="AJ56" i="8"/>
  <c r="AK9" i="8"/>
  <c r="AJ29" i="8"/>
  <c r="AJ36" i="8"/>
  <c r="AJ81" i="8"/>
  <c r="AJ23" i="8"/>
  <c r="AJ68" i="8"/>
  <c r="AJ38" i="8"/>
  <c r="AJ34" i="8"/>
  <c r="AJ91" i="8"/>
  <c r="AJ109" i="8"/>
  <c r="AJ14" i="8"/>
  <c r="AJ87" i="8"/>
  <c r="AJ82" i="8"/>
  <c r="AJ28" i="8"/>
  <c r="AJ47" i="8"/>
  <c r="AJ99" i="8"/>
  <c r="AJ85" i="8"/>
  <c r="AJ20" i="8"/>
  <c r="AJ53" i="8"/>
  <c r="AJ11" i="8"/>
  <c r="AJ115" i="8"/>
  <c r="AJ98" i="8"/>
  <c r="AJ10" i="8"/>
  <c r="AJ63" i="8"/>
  <c r="AJ100" i="8"/>
  <c r="AJ33" i="8"/>
  <c r="AJ92" i="8"/>
  <c r="AJ86" i="8"/>
  <c r="AJ84" i="8"/>
  <c r="AJ27" i="8"/>
  <c r="AJ111" i="8"/>
  <c r="AJ62" i="8"/>
  <c r="AJ37" i="8"/>
  <c r="AJ101" i="8"/>
  <c r="AJ57" i="8"/>
  <c r="AJ71" i="8"/>
  <c r="AJ17" i="8"/>
  <c r="AJ43" i="8"/>
  <c r="AQ193" i="16"/>
  <c r="AS57" i="16"/>
  <c r="AS138" i="16" s="1"/>
  <c r="AR182" i="16"/>
  <c r="AR236" i="16"/>
  <c r="AR243" i="16"/>
  <c r="AR277" i="16"/>
  <c r="AR196" i="12"/>
  <c r="AS9" i="12"/>
  <c r="AR265" i="12"/>
  <c r="AR249" i="12"/>
  <c r="AR215" i="12"/>
  <c r="AP58" i="17"/>
  <c r="AP46" i="17"/>
  <c r="AQ2" i="17"/>
  <c r="AQ217" i="16"/>
  <c r="AQ218" i="16"/>
  <c r="AQ137" i="16"/>
  <c r="AQ136" i="16"/>
  <c r="AR281" i="16"/>
  <c r="AR70" i="16"/>
  <c r="AR7" i="33"/>
  <c r="AR4" i="33"/>
  <c r="AR8" i="33"/>
  <c r="AR69" i="16"/>
  <c r="AR3" i="33"/>
  <c r="AR5" i="33"/>
  <c r="AR66" i="16"/>
  <c r="AR71" i="16"/>
  <c r="AS9" i="16"/>
  <c r="AR73" i="16"/>
  <c r="AR112" i="16"/>
  <c r="AR162" i="16" s="1"/>
  <c r="AR110" i="16"/>
  <c r="AR61" i="16"/>
  <c r="AR74" i="16"/>
  <c r="AR249" i="16"/>
  <c r="AR114" i="16"/>
  <c r="AR265" i="16"/>
  <c r="AR196" i="16"/>
  <c r="AR60" i="16"/>
  <c r="AR111" i="16"/>
  <c r="AR72" i="16"/>
  <c r="AR116" i="16"/>
  <c r="AR76" i="16"/>
  <c r="AR64" i="16"/>
  <c r="AR65" i="16"/>
  <c r="AR115" i="16"/>
  <c r="AR75" i="16"/>
  <c r="AR63" i="16"/>
  <c r="AR46" i="16"/>
  <c r="AR215" i="16"/>
  <c r="AQ247" i="16"/>
  <c r="AR280" i="16"/>
  <c r="AQ252" i="16"/>
  <c r="AQ255" i="16" s="1"/>
  <c r="AQ67" i="16"/>
  <c r="AQ68" i="16"/>
  <c r="AQ150" i="16"/>
  <c r="AK104" i="8" l="1"/>
  <c r="AK82" i="8"/>
  <c r="AK41" i="8"/>
  <c r="AK38" i="8"/>
  <c r="AK96" i="8"/>
  <c r="AK59" i="8"/>
  <c r="AK30" i="8"/>
  <c r="AK92" i="8"/>
  <c r="AK68" i="8"/>
  <c r="AK44" i="8"/>
  <c r="AK102" i="8"/>
  <c r="AK76" i="8"/>
  <c r="AK60" i="8"/>
  <c r="AK12" i="8"/>
  <c r="AK80" i="8"/>
  <c r="AK52" i="8"/>
  <c r="AK50" i="8"/>
  <c r="AK79" i="8"/>
  <c r="AK109" i="8"/>
  <c r="AK32" i="8"/>
  <c r="AK53" i="8"/>
  <c r="AK81" i="8"/>
  <c r="AK112" i="8"/>
  <c r="AK35" i="8"/>
  <c r="AK11" i="8"/>
  <c r="AK20" i="8"/>
  <c r="AK65" i="8"/>
  <c r="AK108" i="8"/>
  <c r="AK77" i="8"/>
  <c r="AK54" i="8"/>
  <c r="AK22" i="8"/>
  <c r="AK101" i="8"/>
  <c r="AK55" i="8"/>
  <c r="AK25" i="8"/>
  <c r="AK94" i="8"/>
  <c r="AK57" i="8"/>
  <c r="AK26" i="8"/>
  <c r="AK98" i="8"/>
  <c r="AK78" i="8"/>
  <c r="AK29" i="8"/>
  <c r="AK114" i="8"/>
  <c r="AK85" i="8"/>
  <c r="AK66" i="8"/>
  <c r="AK16" i="8"/>
  <c r="AK58" i="8"/>
  <c r="AK95" i="8"/>
  <c r="AK87" i="8"/>
  <c r="AK70" i="8"/>
  <c r="AK43" i="8"/>
  <c r="AK40" i="8"/>
  <c r="AK19" i="8"/>
  <c r="AK49" i="8"/>
  <c r="AK106" i="8"/>
  <c r="AK18" i="8"/>
  <c r="AK100" i="8"/>
  <c r="AK62" i="8"/>
  <c r="AK46" i="8"/>
  <c r="AK111" i="8"/>
  <c r="AK93" i="8"/>
  <c r="AK33" i="8"/>
  <c r="AK21" i="8"/>
  <c r="AK84" i="8"/>
  <c r="AK51" i="8"/>
  <c r="AK17" i="8"/>
  <c r="AK88" i="8"/>
  <c r="AK63" i="8"/>
  <c r="AK10" i="8"/>
  <c r="AK116" i="8"/>
  <c r="AK86" i="8"/>
  <c r="AK47" i="8"/>
  <c r="AL9" i="8"/>
  <c r="AK61" i="8"/>
  <c r="AK56" i="8"/>
  <c r="AK115" i="8"/>
  <c r="AK23" i="8"/>
  <c r="AK37" i="8"/>
  <c r="AK99" i="8"/>
  <c r="AK28" i="8"/>
  <c r="AK97" i="8"/>
  <c r="AK113" i="8"/>
  <c r="AK14" i="8"/>
  <c r="AK75" i="8"/>
  <c r="AK45" i="8"/>
  <c r="AK13" i="8"/>
  <c r="AK90" i="8"/>
  <c r="AK36" i="8"/>
  <c r="AK15" i="8"/>
  <c r="AK64" i="8"/>
  <c r="AK31" i="8"/>
  <c r="AK103" i="8"/>
  <c r="AK74" i="8"/>
  <c r="AK69" i="8"/>
  <c r="AK39" i="8"/>
  <c r="AK83" i="8"/>
  <c r="AK67" i="8"/>
  <c r="AK105" i="8"/>
  <c r="AK89" i="8"/>
  <c r="AK34" i="8"/>
  <c r="AK27" i="8"/>
  <c r="AK73" i="8"/>
  <c r="AK72" i="8"/>
  <c r="AK71" i="8"/>
  <c r="AK91" i="8"/>
  <c r="AK48" i="8"/>
  <c r="AK42" i="8"/>
  <c r="AK24" i="8"/>
  <c r="AK107" i="8"/>
  <c r="AK110" i="8"/>
  <c r="AS277" i="16"/>
  <c r="AT57" i="16"/>
  <c r="AT138" i="16" s="1"/>
  <c r="AS243" i="16"/>
  <c r="AS182" i="16"/>
  <c r="AS236" i="16"/>
  <c r="AT9" i="12"/>
  <c r="AS265" i="12"/>
  <c r="AS196" i="12"/>
  <c r="AS249" i="12"/>
  <c r="AS215" i="12"/>
  <c r="AQ58" i="17"/>
  <c r="AQ46" i="17"/>
  <c r="AS280" i="16"/>
  <c r="AR247" i="16"/>
  <c r="AR252" i="16"/>
  <c r="AR255" i="16" s="1"/>
  <c r="AR193" i="16"/>
  <c r="AR67" i="16"/>
  <c r="AR150" i="16"/>
  <c r="AR68" i="16"/>
  <c r="AR218" i="16"/>
  <c r="AR217" i="16"/>
  <c r="AR137" i="16"/>
  <c r="AS281" i="16"/>
  <c r="AR136" i="16"/>
  <c r="AS69" i="16"/>
  <c r="AS70" i="16"/>
  <c r="AS4" i="33"/>
  <c r="AS8" i="33"/>
  <c r="AS3" i="33"/>
  <c r="AS5" i="33"/>
  <c r="AS7" i="33"/>
  <c r="AS72" i="16"/>
  <c r="AS61" i="16"/>
  <c r="AS76" i="16"/>
  <c r="AS71" i="16"/>
  <c r="AS73" i="16"/>
  <c r="AS265" i="16"/>
  <c r="AS60" i="16"/>
  <c r="AS46" i="16"/>
  <c r="AS110" i="16"/>
  <c r="AS114" i="16"/>
  <c r="AS74" i="16"/>
  <c r="AT9" i="16"/>
  <c r="AS63" i="16"/>
  <c r="AS64" i="16"/>
  <c r="AS111" i="16"/>
  <c r="AS65" i="16"/>
  <c r="AS66" i="16"/>
  <c r="AS116" i="16"/>
  <c r="AS215" i="16"/>
  <c r="AS196" i="16"/>
  <c r="AS112" i="16"/>
  <c r="AS162" i="16" s="1"/>
  <c r="AS249" i="16"/>
  <c r="AS115" i="16"/>
  <c r="AS75" i="16"/>
  <c r="AL110" i="8" l="1"/>
  <c r="AL88" i="8"/>
  <c r="AL58" i="8"/>
  <c r="AL39" i="8"/>
  <c r="AL107" i="8"/>
  <c r="AL65" i="8"/>
  <c r="AL33" i="8"/>
  <c r="AL99" i="8"/>
  <c r="AL73" i="8"/>
  <c r="AL31" i="8"/>
  <c r="AL101" i="8"/>
  <c r="AL78" i="8"/>
  <c r="AL46" i="8"/>
  <c r="AL21" i="8"/>
  <c r="AL87" i="8"/>
  <c r="AL42" i="8"/>
  <c r="AL45" i="8"/>
  <c r="AL72" i="8"/>
  <c r="AL96" i="8"/>
  <c r="AL19" i="8"/>
  <c r="AL57" i="8"/>
  <c r="AL66" i="8"/>
  <c r="AL80" i="8"/>
  <c r="AL68" i="8"/>
  <c r="AL90" i="8"/>
  <c r="AL86" i="8"/>
  <c r="AL52" i="8"/>
  <c r="AL91" i="8"/>
  <c r="AL71" i="8"/>
  <c r="AL18" i="8"/>
  <c r="AL38" i="8"/>
  <c r="AL112" i="8"/>
  <c r="AL49" i="8"/>
  <c r="AM9" i="8"/>
  <c r="AL93" i="8"/>
  <c r="AL64" i="8"/>
  <c r="AL23" i="8"/>
  <c r="AL89" i="8"/>
  <c r="AL60" i="8"/>
  <c r="AL17" i="8"/>
  <c r="AL113" i="8"/>
  <c r="AL81" i="8"/>
  <c r="AL40" i="8"/>
  <c r="AL28" i="8"/>
  <c r="AL34" i="8"/>
  <c r="AL63" i="8"/>
  <c r="AL104" i="8"/>
  <c r="AL29" i="8"/>
  <c r="AL32" i="8"/>
  <c r="AL20" i="8"/>
  <c r="AL61" i="8"/>
  <c r="AL22" i="8"/>
  <c r="AL50" i="8"/>
  <c r="AL30" i="8"/>
  <c r="AL95" i="8"/>
  <c r="AL75" i="8"/>
  <c r="AL43" i="8"/>
  <c r="AL102" i="8"/>
  <c r="AL82" i="8"/>
  <c r="AL47" i="8"/>
  <c r="AL37" i="8"/>
  <c r="AL83" i="8"/>
  <c r="AL41" i="8"/>
  <c r="AL76" i="8"/>
  <c r="AL94" i="8"/>
  <c r="AL51" i="8"/>
  <c r="AL10" i="8"/>
  <c r="AL115" i="8"/>
  <c r="AL70" i="8"/>
  <c r="AL44" i="8"/>
  <c r="AL27" i="8"/>
  <c r="AL25" i="8"/>
  <c r="AL77" i="8"/>
  <c r="AL74" i="8"/>
  <c r="AL105" i="8"/>
  <c r="AL15" i="8"/>
  <c r="AL111" i="8"/>
  <c r="AL35" i="8"/>
  <c r="AL114" i="8"/>
  <c r="AL108" i="8"/>
  <c r="AL59" i="8"/>
  <c r="AL14" i="8"/>
  <c r="AL116" i="8"/>
  <c r="AL92" i="8"/>
  <c r="AL55" i="8"/>
  <c r="AL16" i="8"/>
  <c r="AL79" i="8"/>
  <c r="AL67" i="8"/>
  <c r="AL98" i="8"/>
  <c r="AL84" i="8"/>
  <c r="AL48" i="8"/>
  <c r="AL24" i="8"/>
  <c r="AL62" i="8"/>
  <c r="AL109" i="8"/>
  <c r="AL103" i="8"/>
  <c r="AL56" i="8"/>
  <c r="AL53" i="8"/>
  <c r="AL54" i="8"/>
  <c r="AL97" i="8"/>
  <c r="AL106" i="8"/>
  <c r="AL26" i="8"/>
  <c r="AL13" i="8"/>
  <c r="AL85" i="8"/>
  <c r="AL100" i="8"/>
  <c r="AL69" i="8"/>
  <c r="AL12" i="8"/>
  <c r="AL36" i="8"/>
  <c r="AL11" i="8"/>
  <c r="AT182" i="16"/>
  <c r="AT243" i="16"/>
  <c r="AT236" i="16"/>
  <c r="AU57" i="16"/>
  <c r="AT277" i="16"/>
  <c r="AT196" i="12"/>
  <c r="AU9" i="12"/>
  <c r="AT249" i="12"/>
  <c r="AT265" i="12"/>
  <c r="AT215" i="12"/>
  <c r="AS247" i="16"/>
  <c r="AT280" i="16"/>
  <c r="AS252" i="16"/>
  <c r="AS255" i="16" s="1"/>
  <c r="AS193" i="16"/>
  <c r="AT281" i="16"/>
  <c r="AS136" i="16"/>
  <c r="AS150" i="16"/>
  <c r="AS67" i="16"/>
  <c r="AS68" i="16"/>
  <c r="AT4" i="33"/>
  <c r="AT8" i="33"/>
  <c r="AT69" i="16"/>
  <c r="AT3" i="33"/>
  <c r="AT5" i="33"/>
  <c r="AT70" i="16"/>
  <c r="AT7" i="33"/>
  <c r="AT63" i="16"/>
  <c r="AT60" i="16"/>
  <c r="AT64" i="16"/>
  <c r="AT72" i="16"/>
  <c r="AT65" i="16"/>
  <c r="AT46" i="16"/>
  <c r="AT76" i="16"/>
  <c r="AT75" i="16"/>
  <c r="AT196" i="16"/>
  <c r="AT66" i="16"/>
  <c r="AT110" i="16"/>
  <c r="AT74" i="16"/>
  <c r="AT249" i="16"/>
  <c r="AT215" i="16"/>
  <c r="AT111" i="16"/>
  <c r="AT61" i="16"/>
  <c r="AT116" i="16"/>
  <c r="AT265" i="16"/>
  <c r="AT114" i="16"/>
  <c r="AT115" i="16"/>
  <c r="AU9" i="16"/>
  <c r="AT71" i="16"/>
  <c r="AT112" i="16"/>
  <c r="AT162" i="16" s="1"/>
  <c r="AT73" i="16"/>
  <c r="AS217" i="16"/>
  <c r="AS218" i="16"/>
  <c r="AS137" i="16"/>
  <c r="AM101" i="8" l="1"/>
  <c r="AM91" i="8"/>
  <c r="AM45" i="8"/>
  <c r="AN9" i="8"/>
  <c r="AM88" i="8"/>
  <c r="AM47" i="8"/>
  <c r="AM27" i="8"/>
  <c r="AM96" i="8"/>
  <c r="AM60" i="8"/>
  <c r="AM16" i="8"/>
  <c r="AM104" i="8"/>
  <c r="AM71" i="8"/>
  <c r="AM56" i="8"/>
  <c r="AM44" i="8"/>
  <c r="AM94" i="8"/>
  <c r="AM61" i="8"/>
  <c r="AM23" i="8"/>
  <c r="AM116" i="8"/>
  <c r="AM21" i="8"/>
  <c r="AM46" i="8"/>
  <c r="AM54" i="8"/>
  <c r="AM79" i="8"/>
  <c r="AM48" i="8"/>
  <c r="AM41" i="8"/>
  <c r="AM30" i="8"/>
  <c r="AM67" i="8"/>
  <c r="AM15" i="8"/>
  <c r="AM99" i="8"/>
  <c r="AM73" i="8"/>
  <c r="AM17" i="8"/>
  <c r="AM115" i="8"/>
  <c r="AM70" i="8"/>
  <c r="AM72" i="8"/>
  <c r="AM20" i="8"/>
  <c r="AM85" i="8"/>
  <c r="AM49" i="8"/>
  <c r="AM38" i="8"/>
  <c r="AM114" i="8"/>
  <c r="AM69" i="8"/>
  <c r="AM43" i="8"/>
  <c r="AM28" i="8"/>
  <c r="AM92" i="8"/>
  <c r="AM66" i="8"/>
  <c r="AM52" i="8"/>
  <c r="AM89" i="8"/>
  <c r="AM109" i="8"/>
  <c r="AM42" i="8"/>
  <c r="AM57" i="8"/>
  <c r="AM64" i="8"/>
  <c r="AM75" i="8"/>
  <c r="AM25" i="8"/>
  <c r="AM106" i="8"/>
  <c r="AM111" i="8"/>
  <c r="AM18" i="8"/>
  <c r="AM86" i="8"/>
  <c r="AM63" i="8"/>
  <c r="AM22" i="8"/>
  <c r="AM97" i="8"/>
  <c r="AM68" i="8"/>
  <c r="AM24" i="8"/>
  <c r="AM113" i="8"/>
  <c r="AM82" i="8"/>
  <c r="AM39" i="8"/>
  <c r="AM19" i="8"/>
  <c r="AM103" i="8"/>
  <c r="AM74" i="8"/>
  <c r="AM32" i="8"/>
  <c r="AM110" i="8"/>
  <c r="AM84" i="8"/>
  <c r="AM53" i="8"/>
  <c r="AM34" i="8"/>
  <c r="AM65" i="8"/>
  <c r="AM87" i="8"/>
  <c r="AM100" i="8"/>
  <c r="AM37" i="8"/>
  <c r="AM36" i="8"/>
  <c r="AM90" i="8"/>
  <c r="AM12" i="8"/>
  <c r="AM35" i="8"/>
  <c r="AM105" i="8"/>
  <c r="AM112" i="8"/>
  <c r="AM78" i="8"/>
  <c r="AM62" i="8"/>
  <c r="AM33" i="8"/>
  <c r="AM51" i="8"/>
  <c r="AM81" i="8"/>
  <c r="AM102" i="8"/>
  <c r="AM80" i="8"/>
  <c r="AM76" i="8"/>
  <c r="AM59" i="8"/>
  <c r="AM13" i="8"/>
  <c r="AM26" i="8"/>
  <c r="AM98" i="8"/>
  <c r="AM95" i="8"/>
  <c r="AM58" i="8"/>
  <c r="AM14" i="8"/>
  <c r="AM10" i="8"/>
  <c r="AM107" i="8"/>
  <c r="AM50" i="8"/>
  <c r="AM11" i="8"/>
  <c r="AM40" i="8"/>
  <c r="AM83" i="8"/>
  <c r="AM29" i="8"/>
  <c r="AM55" i="8"/>
  <c r="AM108" i="8"/>
  <c r="AM77" i="8"/>
  <c r="AM93" i="8"/>
  <c r="AM31" i="8"/>
  <c r="AU182" i="16"/>
  <c r="AV57" i="16"/>
  <c r="AV138" i="16" s="1"/>
  <c r="AU243" i="16"/>
  <c r="AU236" i="16"/>
  <c r="AU277" i="16"/>
  <c r="AU138" i="16"/>
  <c r="AU249" i="12"/>
  <c r="AU215" i="12"/>
  <c r="AU196" i="12"/>
  <c r="AV9" i="12"/>
  <c r="AU265" i="12"/>
  <c r="AT218" i="16"/>
  <c r="AT217" i="16"/>
  <c r="AT137" i="16"/>
  <c r="AT136" i="16"/>
  <c r="AU281" i="16"/>
  <c r="AU3" i="33"/>
  <c r="AU5" i="33"/>
  <c r="AU7" i="33"/>
  <c r="AU69" i="16"/>
  <c r="AU70" i="16"/>
  <c r="AU4" i="33"/>
  <c r="AU8" i="33"/>
  <c r="AU71" i="16"/>
  <c r="AU114" i="16"/>
  <c r="AU112" i="16"/>
  <c r="AU162" i="16" s="1"/>
  <c r="AU196" i="16"/>
  <c r="AU115" i="16"/>
  <c r="AU215" i="16"/>
  <c r="AV9" i="16"/>
  <c r="AU65" i="16"/>
  <c r="AU46" i="16"/>
  <c r="AU64" i="16"/>
  <c r="AU76" i="16"/>
  <c r="AU73" i="16"/>
  <c r="AU116" i="16"/>
  <c r="AU66" i="16"/>
  <c r="AU75" i="16"/>
  <c r="AU60" i="16"/>
  <c r="AU111" i="16"/>
  <c r="AU74" i="16"/>
  <c r="AU110" i="16"/>
  <c r="AU193" i="16" s="1"/>
  <c r="AU265" i="16"/>
  <c r="AU249" i="16"/>
  <c r="AU72" i="16"/>
  <c r="AU63" i="16"/>
  <c r="AU61" i="16"/>
  <c r="AT247" i="16"/>
  <c r="AU280" i="16"/>
  <c r="AT252" i="16"/>
  <c r="AT255" i="16" s="1"/>
  <c r="AT67" i="16"/>
  <c r="AT68" i="16"/>
  <c r="AT150" i="16"/>
  <c r="AT193" i="16"/>
  <c r="AN111" i="8" l="1"/>
  <c r="AN91" i="8"/>
  <c r="AN46" i="8"/>
  <c r="AO9" i="8"/>
  <c r="AN103" i="8"/>
  <c r="AN67" i="8"/>
  <c r="AN35" i="8"/>
  <c r="AN109" i="8"/>
  <c r="AN92" i="8"/>
  <c r="AN30" i="8"/>
  <c r="AN49" i="8"/>
  <c r="AN101" i="8"/>
  <c r="AN55" i="8"/>
  <c r="AN14" i="8"/>
  <c r="AN96" i="8"/>
  <c r="AN59" i="8"/>
  <c r="AN15" i="8"/>
  <c r="AN97" i="8"/>
  <c r="AN19" i="8"/>
  <c r="AN72" i="8"/>
  <c r="AN39" i="8"/>
  <c r="AN61" i="8"/>
  <c r="AN58" i="8"/>
  <c r="AN50" i="8"/>
  <c r="AN60" i="8"/>
  <c r="AN41" i="8"/>
  <c r="AN68" i="8"/>
  <c r="AN99" i="8"/>
  <c r="AN75" i="8"/>
  <c r="AN51" i="8"/>
  <c r="AN10" i="8"/>
  <c r="AN90" i="8"/>
  <c r="AN62" i="8"/>
  <c r="AN20" i="8"/>
  <c r="AN113" i="8"/>
  <c r="AN64" i="8"/>
  <c r="AN24" i="8"/>
  <c r="AN36" i="8"/>
  <c r="AN79" i="8"/>
  <c r="AN93" i="8"/>
  <c r="AN34" i="8"/>
  <c r="AN105" i="8"/>
  <c r="AN48" i="8"/>
  <c r="AN21" i="8"/>
  <c r="AN76" i="8"/>
  <c r="AN110" i="8"/>
  <c r="AN27" i="8"/>
  <c r="AN70" i="8"/>
  <c r="AN53" i="8"/>
  <c r="AN112" i="8"/>
  <c r="AN13" i="8"/>
  <c r="AN107" i="8"/>
  <c r="AN114" i="8"/>
  <c r="AN71" i="8"/>
  <c r="AN104" i="8"/>
  <c r="AN65" i="8"/>
  <c r="AN43" i="8"/>
  <c r="AN116" i="8"/>
  <c r="AN86" i="8"/>
  <c r="AN38" i="8"/>
  <c r="AN17" i="8"/>
  <c r="AN94" i="8"/>
  <c r="AN66" i="8"/>
  <c r="AN33" i="8"/>
  <c r="AN108" i="8"/>
  <c r="AN81" i="8"/>
  <c r="AN45" i="8"/>
  <c r="AN42" i="8"/>
  <c r="AN77" i="8"/>
  <c r="AN56" i="8"/>
  <c r="AN26" i="8"/>
  <c r="AN40" i="8"/>
  <c r="AN87" i="8"/>
  <c r="AN95" i="8"/>
  <c r="AN11" i="8"/>
  <c r="AN22" i="8"/>
  <c r="AN85" i="8"/>
  <c r="AN115" i="8"/>
  <c r="AN52" i="8"/>
  <c r="AN82" i="8"/>
  <c r="AN78" i="8"/>
  <c r="AN84" i="8"/>
  <c r="AN73" i="8"/>
  <c r="AN47" i="8"/>
  <c r="AN23" i="8"/>
  <c r="AN25" i="8"/>
  <c r="AN102" i="8"/>
  <c r="AN57" i="8"/>
  <c r="AN63" i="8"/>
  <c r="AN31" i="8"/>
  <c r="AN12" i="8"/>
  <c r="AN100" i="8"/>
  <c r="AN16" i="8"/>
  <c r="AN37" i="8"/>
  <c r="AN83" i="8"/>
  <c r="AN28" i="8"/>
  <c r="AN29" i="8"/>
  <c r="AN89" i="8"/>
  <c r="AN80" i="8"/>
  <c r="AN32" i="8"/>
  <c r="AN74" i="8"/>
  <c r="AN18" i="8"/>
  <c r="AN106" i="8"/>
  <c r="AN69" i="8"/>
  <c r="AN88" i="8"/>
  <c r="AN98" i="8"/>
  <c r="AN54" i="8"/>
  <c r="AN44" i="8"/>
  <c r="AV277" i="16"/>
  <c r="AV236" i="16"/>
  <c r="AV182" i="16"/>
  <c r="AW57" i="16"/>
  <c r="AW277" i="16" s="1"/>
  <c r="AV243" i="16"/>
  <c r="AV265" i="12"/>
  <c r="AV215" i="12"/>
  <c r="AV249" i="12"/>
  <c r="AV196" i="12"/>
  <c r="AW9" i="12"/>
  <c r="AU150" i="16"/>
  <c r="AU68" i="16"/>
  <c r="AU67" i="16"/>
  <c r="AU217" i="16"/>
  <c r="AU218" i="16"/>
  <c r="AU137" i="16"/>
  <c r="AV70" i="16"/>
  <c r="AV7" i="33"/>
  <c r="AV4" i="33"/>
  <c r="AV8" i="33"/>
  <c r="AV69" i="16"/>
  <c r="AV3" i="33"/>
  <c r="AV5" i="33"/>
  <c r="AV72" i="16"/>
  <c r="AV65" i="16"/>
  <c r="AW9" i="16"/>
  <c r="AV112" i="16"/>
  <c r="AV162" i="16" s="1"/>
  <c r="AV111" i="16"/>
  <c r="AV60" i="16"/>
  <c r="AV215" i="16"/>
  <c r="AV115" i="16"/>
  <c r="AV116" i="16"/>
  <c r="AV71" i="16"/>
  <c r="AV249" i="16"/>
  <c r="AV46" i="16"/>
  <c r="AV196" i="16"/>
  <c r="AV66" i="16"/>
  <c r="AV64" i="16"/>
  <c r="AV110" i="16"/>
  <c r="AV74" i="16"/>
  <c r="AV63" i="16"/>
  <c r="AV75" i="16"/>
  <c r="AV114" i="16"/>
  <c r="AV61" i="16"/>
  <c r="AV265" i="16"/>
  <c r="AV73" i="16"/>
  <c r="AV76" i="16"/>
  <c r="AU136" i="16"/>
  <c r="AV281" i="16"/>
  <c r="AV280" i="16"/>
  <c r="AU247" i="16"/>
  <c r="AU252" i="16"/>
  <c r="AU255" i="16" s="1"/>
  <c r="AO113" i="8" l="1"/>
  <c r="AO68" i="8"/>
  <c r="AO111" i="8"/>
  <c r="AO52" i="8"/>
  <c r="AO89" i="8"/>
  <c r="AO58" i="8"/>
  <c r="AO28" i="8"/>
  <c r="AO112" i="8"/>
  <c r="AO74" i="8"/>
  <c r="AO43" i="8"/>
  <c r="AO16" i="8"/>
  <c r="AO88" i="8"/>
  <c r="AO47" i="8"/>
  <c r="AO42" i="8"/>
  <c r="AO116" i="8"/>
  <c r="AO86" i="8"/>
  <c r="AO15" i="8"/>
  <c r="AO101" i="8"/>
  <c r="AO18" i="8"/>
  <c r="AO21" i="8"/>
  <c r="AO73" i="8"/>
  <c r="AO92" i="8"/>
  <c r="AO69" i="8"/>
  <c r="AO44" i="8"/>
  <c r="AO103" i="8"/>
  <c r="AO11" i="8"/>
  <c r="AO48" i="8"/>
  <c r="AO100" i="8"/>
  <c r="AO63" i="8"/>
  <c r="AO35" i="8"/>
  <c r="AO110" i="8"/>
  <c r="AO75" i="8"/>
  <c r="AO50" i="8"/>
  <c r="AO30" i="8"/>
  <c r="AO102" i="8"/>
  <c r="AO59" i="8"/>
  <c r="AO32" i="8"/>
  <c r="AO114" i="8"/>
  <c r="AO80" i="8"/>
  <c r="AO45" i="8"/>
  <c r="AP9" i="8"/>
  <c r="AO109" i="8"/>
  <c r="AO70" i="8"/>
  <c r="AO10" i="8"/>
  <c r="AO79" i="8"/>
  <c r="AO98" i="8"/>
  <c r="AO34" i="8"/>
  <c r="AO38" i="8"/>
  <c r="AO72" i="8"/>
  <c r="AO106" i="8"/>
  <c r="AO19" i="8"/>
  <c r="AO40" i="8"/>
  <c r="AO104" i="8"/>
  <c r="AO17" i="8"/>
  <c r="AO90" i="8"/>
  <c r="AO66" i="8"/>
  <c r="AO41" i="8"/>
  <c r="AO105" i="8"/>
  <c r="AO60" i="8"/>
  <c r="AO54" i="8"/>
  <c r="AO26" i="8"/>
  <c r="AO83" i="8"/>
  <c r="AO56" i="8"/>
  <c r="AO20" i="8"/>
  <c r="AO95" i="8"/>
  <c r="AO91" i="8"/>
  <c r="AO23" i="8"/>
  <c r="AO24" i="8"/>
  <c r="AO77" i="8"/>
  <c r="AO39" i="8"/>
  <c r="AO27" i="8"/>
  <c r="AO31" i="8"/>
  <c r="AO71" i="8"/>
  <c r="AO108" i="8"/>
  <c r="AO13" i="8"/>
  <c r="AO29" i="8"/>
  <c r="AO78" i="8"/>
  <c r="AO76" i="8"/>
  <c r="AO96" i="8"/>
  <c r="AO81" i="8"/>
  <c r="AO82" i="8"/>
  <c r="AO64" i="8"/>
  <c r="AO33" i="8"/>
  <c r="AO25" i="8"/>
  <c r="AO107" i="8"/>
  <c r="AO22" i="8"/>
  <c r="AO12" i="8"/>
  <c r="AO67" i="8"/>
  <c r="AO36" i="8"/>
  <c r="AO115" i="8"/>
  <c r="AO93" i="8"/>
  <c r="AO85" i="8"/>
  <c r="AO65" i="8"/>
  <c r="AO57" i="8"/>
  <c r="AO55" i="8"/>
  <c r="AO94" i="8"/>
  <c r="AO87" i="8"/>
  <c r="AO53" i="8"/>
  <c r="AO37" i="8"/>
  <c r="AO84" i="8"/>
  <c r="AO49" i="8"/>
  <c r="AO46" i="8"/>
  <c r="AO62" i="8"/>
  <c r="AO14" i="8"/>
  <c r="AO97" i="8"/>
  <c r="AO51" i="8"/>
  <c r="AO61" i="8"/>
  <c r="AO99" i="8"/>
  <c r="AV193" i="16"/>
  <c r="AW138" i="16"/>
  <c r="AX57" i="16"/>
  <c r="AX138" i="16" s="1"/>
  <c r="AW182" i="16"/>
  <c r="AW236" i="16"/>
  <c r="AW243" i="16"/>
  <c r="AW265" i="12"/>
  <c r="AW196" i="12"/>
  <c r="AW249" i="12"/>
  <c r="AW215" i="12"/>
  <c r="AX9" i="12"/>
  <c r="AV136" i="16"/>
  <c r="AW281" i="16"/>
  <c r="AV150" i="16"/>
  <c r="AV67" i="16"/>
  <c r="AV68" i="16"/>
  <c r="AW69" i="16"/>
  <c r="AW70" i="16"/>
  <c r="AW4" i="33"/>
  <c r="AW8" i="33"/>
  <c r="AW3" i="33"/>
  <c r="AW5" i="33"/>
  <c r="AW7" i="33"/>
  <c r="AW60" i="16"/>
  <c r="AW75" i="16"/>
  <c r="AW249" i="16"/>
  <c r="AW73" i="16"/>
  <c r="AW65" i="16"/>
  <c r="AX9" i="16"/>
  <c r="AW74" i="16"/>
  <c r="AW110" i="16"/>
  <c r="AW196" i="16"/>
  <c r="AW215" i="16"/>
  <c r="AW72" i="16"/>
  <c r="AW66" i="16"/>
  <c r="AW61" i="16"/>
  <c r="AW76" i="16"/>
  <c r="AW116" i="16"/>
  <c r="AW114" i="16"/>
  <c r="AW46" i="16"/>
  <c r="AW71" i="16"/>
  <c r="AW112" i="16"/>
  <c r="AW162" i="16" s="1"/>
  <c r="AW265" i="16"/>
  <c r="AW115" i="16"/>
  <c r="AW63" i="16"/>
  <c r="AW64" i="16"/>
  <c r="AW111" i="16"/>
  <c r="AV137" i="16"/>
  <c r="AV218" i="16"/>
  <c r="AV217" i="16"/>
  <c r="AW280" i="16"/>
  <c r="AV247" i="16"/>
  <c r="AV252" i="16"/>
  <c r="AV255" i="16" s="1"/>
  <c r="AP116" i="8" l="1"/>
  <c r="AP84" i="8"/>
  <c r="AP37" i="8"/>
  <c r="AP18" i="8"/>
  <c r="AP108" i="8"/>
  <c r="AP56" i="8"/>
  <c r="AP14" i="8"/>
  <c r="AP114" i="8"/>
  <c r="AP76" i="8"/>
  <c r="AP61" i="8"/>
  <c r="AP39" i="8"/>
  <c r="AP93" i="8"/>
  <c r="AP55" i="8"/>
  <c r="AP57" i="8"/>
  <c r="AP104" i="8"/>
  <c r="AP70" i="8"/>
  <c r="AP35" i="8"/>
  <c r="AP100" i="8"/>
  <c r="AP15" i="8"/>
  <c r="AP13" i="8"/>
  <c r="AP45" i="8"/>
  <c r="AP107" i="8"/>
  <c r="AP12" i="8"/>
  <c r="AP96" i="8"/>
  <c r="AP112" i="8"/>
  <c r="AP69" i="8"/>
  <c r="AP65" i="8"/>
  <c r="AP111" i="8"/>
  <c r="AP71" i="8"/>
  <c r="AP43" i="8"/>
  <c r="AP25" i="8"/>
  <c r="AP89" i="8"/>
  <c r="AP50" i="8"/>
  <c r="AP27" i="8"/>
  <c r="AP95" i="8"/>
  <c r="AP59" i="8"/>
  <c r="AP42" i="8"/>
  <c r="AP47" i="8"/>
  <c r="AP82" i="8"/>
  <c r="AP30" i="8"/>
  <c r="AP49" i="8"/>
  <c r="AP92" i="8"/>
  <c r="AP66" i="8"/>
  <c r="AP41" i="8"/>
  <c r="AP79" i="8"/>
  <c r="AP101" i="8"/>
  <c r="AP31" i="8"/>
  <c r="AP20" i="8"/>
  <c r="AP98" i="8"/>
  <c r="AP87" i="8"/>
  <c r="AP73" i="8"/>
  <c r="AP54" i="8"/>
  <c r="AP29" i="8"/>
  <c r="AP48" i="8"/>
  <c r="AP94" i="8"/>
  <c r="AP52" i="8"/>
  <c r="AP22" i="8"/>
  <c r="AP109" i="8"/>
  <c r="AP78" i="8"/>
  <c r="AP81" i="8"/>
  <c r="AQ9" i="8"/>
  <c r="AP102" i="8"/>
  <c r="AP86" i="8"/>
  <c r="AP21" i="8"/>
  <c r="AP106" i="8"/>
  <c r="AP74" i="8"/>
  <c r="AP44" i="8"/>
  <c r="AP16" i="8"/>
  <c r="AP91" i="8"/>
  <c r="AP58" i="8"/>
  <c r="AP34" i="8"/>
  <c r="AP38" i="8"/>
  <c r="AP88" i="8"/>
  <c r="AP97" i="8"/>
  <c r="AP23" i="8"/>
  <c r="AP62" i="8"/>
  <c r="AP33" i="8"/>
  <c r="AP28" i="8"/>
  <c r="AP75" i="8"/>
  <c r="AP115" i="8"/>
  <c r="AP26" i="8"/>
  <c r="AP68" i="8"/>
  <c r="AP10" i="8"/>
  <c r="AP110" i="8"/>
  <c r="AP85" i="8"/>
  <c r="AP53" i="8"/>
  <c r="AP105" i="8"/>
  <c r="AP64" i="8"/>
  <c r="AP99" i="8"/>
  <c r="AP83" i="8"/>
  <c r="AP80" i="8"/>
  <c r="AP36" i="8"/>
  <c r="AP72" i="8"/>
  <c r="AP11" i="8"/>
  <c r="AP90" i="8"/>
  <c r="AP67" i="8"/>
  <c r="AP46" i="8"/>
  <c r="AP40" i="8"/>
  <c r="AP17" i="8"/>
  <c r="AP103" i="8"/>
  <c r="AP24" i="8"/>
  <c r="AP113" i="8"/>
  <c r="AP63" i="8"/>
  <c r="AP32" i="8"/>
  <c r="AP51" i="8"/>
  <c r="AP60" i="8"/>
  <c r="AP19" i="8"/>
  <c r="AP77" i="8"/>
  <c r="AX182" i="16"/>
  <c r="AX243" i="16"/>
  <c r="AY57" i="16"/>
  <c r="AX236" i="16"/>
  <c r="AX277" i="16"/>
  <c r="AX265" i="12"/>
  <c r="AX249" i="12"/>
  <c r="AX196" i="12"/>
  <c r="AX215" i="12"/>
  <c r="AY9" i="12"/>
  <c r="AW137" i="16"/>
  <c r="AW217" i="16"/>
  <c r="AW218" i="16"/>
  <c r="AX281" i="16"/>
  <c r="AW136" i="16"/>
  <c r="AW247" i="16"/>
  <c r="AX280" i="16"/>
  <c r="AW252" i="16"/>
  <c r="AW255" i="16" s="1"/>
  <c r="AX4" i="33"/>
  <c r="AX8" i="33"/>
  <c r="AX69" i="16"/>
  <c r="AX3" i="33"/>
  <c r="AX5" i="33"/>
  <c r="AX70" i="16"/>
  <c r="AX7" i="33"/>
  <c r="AX65" i="16"/>
  <c r="AX72" i="16"/>
  <c r="AX74" i="16"/>
  <c r="AX64" i="16"/>
  <c r="AX71" i="16"/>
  <c r="AX76" i="16"/>
  <c r="AY9" i="16"/>
  <c r="AX46" i="16"/>
  <c r="AX112" i="16"/>
  <c r="AX162" i="16" s="1"/>
  <c r="AX60" i="16"/>
  <c r="AX111" i="16"/>
  <c r="AX196" i="16"/>
  <c r="AX66" i="16"/>
  <c r="AX265" i="16"/>
  <c r="AX215" i="16"/>
  <c r="AX63" i="16"/>
  <c r="AX115" i="16"/>
  <c r="AX116" i="16"/>
  <c r="AX61" i="16"/>
  <c r="AX73" i="16"/>
  <c r="AX114" i="16"/>
  <c r="AX75" i="16"/>
  <c r="AX249" i="16"/>
  <c r="AX110" i="16"/>
  <c r="AW68" i="16"/>
  <c r="AW150" i="16"/>
  <c r="AW67" i="16"/>
  <c r="AW193" i="16"/>
  <c r="AQ104" i="8" l="1"/>
  <c r="AQ90" i="8"/>
  <c r="AQ67" i="8"/>
  <c r="AQ24" i="8"/>
  <c r="AQ88" i="8"/>
  <c r="AQ54" i="8"/>
  <c r="AQ26" i="8"/>
  <c r="AQ110" i="8"/>
  <c r="AQ80" i="8"/>
  <c r="AQ85" i="8"/>
  <c r="AQ39" i="8"/>
  <c r="AQ86" i="8"/>
  <c r="AQ37" i="8"/>
  <c r="AQ25" i="8"/>
  <c r="AQ100" i="8"/>
  <c r="AQ61" i="8"/>
  <c r="AQ21" i="8"/>
  <c r="AQ108" i="8"/>
  <c r="AQ38" i="8"/>
  <c r="AQ49" i="8"/>
  <c r="AQ64" i="8"/>
  <c r="AQ114" i="8"/>
  <c r="AQ31" i="8"/>
  <c r="AQ94" i="8"/>
  <c r="AQ32" i="8"/>
  <c r="AQ102" i="8"/>
  <c r="AQ79" i="8"/>
  <c r="AQ101" i="8"/>
  <c r="AQ51" i="8"/>
  <c r="AQ20" i="8"/>
  <c r="AQ116" i="8"/>
  <c r="AQ74" i="8"/>
  <c r="AQ36" i="8"/>
  <c r="AQ15" i="8"/>
  <c r="AQ92" i="8"/>
  <c r="AQ65" i="8"/>
  <c r="AQ81" i="8"/>
  <c r="AQ60" i="8"/>
  <c r="AQ34" i="8"/>
  <c r="AQ111" i="8"/>
  <c r="AQ87" i="8"/>
  <c r="AQ47" i="8"/>
  <c r="AQ22" i="8"/>
  <c r="AQ97" i="8"/>
  <c r="AQ53" i="8"/>
  <c r="AQ18" i="8"/>
  <c r="AQ103" i="8"/>
  <c r="AQ69" i="8"/>
  <c r="AQ46" i="8"/>
  <c r="AQ33" i="8"/>
  <c r="AQ84" i="8"/>
  <c r="AQ29" i="8"/>
  <c r="AQ17" i="8"/>
  <c r="AQ91" i="8"/>
  <c r="AQ95" i="8"/>
  <c r="AQ112" i="8"/>
  <c r="AQ73" i="8"/>
  <c r="AQ71" i="8"/>
  <c r="AQ82" i="8"/>
  <c r="AQ68" i="8"/>
  <c r="AQ70" i="8"/>
  <c r="AQ98" i="8"/>
  <c r="AQ14" i="8"/>
  <c r="AQ93" i="8"/>
  <c r="AQ83" i="8"/>
  <c r="AQ106" i="8"/>
  <c r="AQ57" i="8"/>
  <c r="AQ109" i="8"/>
  <c r="AQ11" i="8"/>
  <c r="AQ105" i="8"/>
  <c r="AQ41" i="8"/>
  <c r="AQ45" i="8"/>
  <c r="AQ50" i="8"/>
  <c r="AQ27" i="8"/>
  <c r="AQ75" i="8"/>
  <c r="AQ72" i="8"/>
  <c r="AQ43" i="8"/>
  <c r="AQ96" i="8"/>
  <c r="AQ19" i="8"/>
  <c r="AQ89" i="8"/>
  <c r="AQ10" i="8"/>
  <c r="AQ62" i="8"/>
  <c r="AQ66" i="8"/>
  <c r="AQ42" i="8"/>
  <c r="AQ59" i="8"/>
  <c r="AQ56" i="8"/>
  <c r="AQ44" i="8"/>
  <c r="AQ12" i="8"/>
  <c r="AQ28" i="8"/>
  <c r="AQ77" i="8"/>
  <c r="AQ30" i="8"/>
  <c r="AQ55" i="8"/>
  <c r="AQ107" i="8"/>
  <c r="AR9" i="8"/>
  <c r="AQ76" i="8"/>
  <c r="AQ99" i="8"/>
  <c r="AQ16" i="8"/>
  <c r="AQ23" i="8"/>
  <c r="AQ113" i="8"/>
  <c r="AQ48" i="8"/>
  <c r="AQ115" i="8"/>
  <c r="AQ52" i="8"/>
  <c r="AQ13" i="8"/>
  <c r="AQ40" i="8"/>
  <c r="AQ35" i="8"/>
  <c r="AQ58" i="8"/>
  <c r="AQ63" i="8"/>
  <c r="AQ78" i="8"/>
  <c r="AY236" i="16"/>
  <c r="AZ57" i="16"/>
  <c r="AZ277" i="16" s="1"/>
  <c r="AY243" i="16"/>
  <c r="AY182" i="16"/>
  <c r="AY277" i="16"/>
  <c r="AY138" i="16"/>
  <c r="AY249" i="12"/>
  <c r="AY215" i="12"/>
  <c r="AY265" i="12"/>
  <c r="AY196" i="12"/>
  <c r="AZ9" i="12"/>
  <c r="AX193" i="16"/>
  <c r="AY280" i="16"/>
  <c r="AX247" i="16"/>
  <c r="AX252" i="16"/>
  <c r="AX255" i="16" s="1"/>
  <c r="AX136" i="16"/>
  <c r="AY281" i="16"/>
  <c r="AX150" i="16"/>
  <c r="AX68" i="16"/>
  <c r="AX67" i="16"/>
  <c r="AY3" i="33"/>
  <c r="AY5" i="33"/>
  <c r="AY7" i="33"/>
  <c r="AY69" i="16"/>
  <c r="AY70" i="16"/>
  <c r="AY4" i="33"/>
  <c r="AY8" i="33"/>
  <c r="AY46" i="16"/>
  <c r="AY116" i="16"/>
  <c r="AY115" i="16"/>
  <c r="AY111" i="16"/>
  <c r="AY60" i="16"/>
  <c r="AZ9" i="16"/>
  <c r="AY64" i="16"/>
  <c r="AY72" i="16"/>
  <c r="AY112" i="16"/>
  <c r="AY162" i="16" s="1"/>
  <c r="AY75" i="16"/>
  <c r="AY73" i="16"/>
  <c r="AY74" i="16"/>
  <c r="AY249" i="16"/>
  <c r="AY215" i="16"/>
  <c r="AY66" i="16"/>
  <c r="AY71" i="16"/>
  <c r="AY61" i="16"/>
  <c r="AY265" i="16"/>
  <c r="AY76" i="16"/>
  <c r="AY114" i="16"/>
  <c r="AY196" i="16"/>
  <c r="AY63" i="16"/>
  <c r="AY110" i="16"/>
  <c r="AY65" i="16"/>
  <c r="AX137" i="16"/>
  <c r="AX218" i="16"/>
  <c r="AX217" i="16"/>
  <c r="AR113" i="8" l="1"/>
  <c r="AR86" i="8"/>
  <c r="AR34" i="8"/>
  <c r="AR22" i="8"/>
  <c r="AR85" i="8"/>
  <c r="AR44" i="8"/>
  <c r="AR39" i="8"/>
  <c r="AR95" i="8"/>
  <c r="AR79" i="8"/>
  <c r="AR18" i="8"/>
  <c r="AR108" i="8"/>
  <c r="AR89" i="8"/>
  <c r="AR41" i="8"/>
  <c r="AR115" i="8"/>
  <c r="AR83" i="8"/>
  <c r="AR97" i="8"/>
  <c r="AR63" i="8"/>
  <c r="AR38" i="8"/>
  <c r="AR102" i="8"/>
  <c r="AR69" i="8"/>
  <c r="AR20" i="8"/>
  <c r="AR112" i="8"/>
  <c r="AR82" i="8"/>
  <c r="AR51" i="8"/>
  <c r="AR15" i="8"/>
  <c r="AR57" i="8"/>
  <c r="AR105" i="8"/>
  <c r="AR52" i="8"/>
  <c r="AR75" i="8"/>
  <c r="AR37" i="8"/>
  <c r="AR84" i="8"/>
  <c r="AR45" i="8"/>
  <c r="AR92" i="8"/>
  <c r="AR53" i="8"/>
  <c r="AR29" i="8"/>
  <c r="AR87" i="8"/>
  <c r="AR110" i="8"/>
  <c r="AR30" i="8"/>
  <c r="AR55" i="8"/>
  <c r="AR90" i="8"/>
  <c r="AR28" i="8"/>
  <c r="AR58" i="8"/>
  <c r="AR42" i="8"/>
  <c r="AR114" i="8"/>
  <c r="AR10" i="8"/>
  <c r="AR56" i="8"/>
  <c r="AR99" i="8"/>
  <c r="AR26" i="8"/>
  <c r="AR68" i="8"/>
  <c r="AR111" i="8"/>
  <c r="AR54" i="8"/>
  <c r="AR24" i="8"/>
  <c r="AR88" i="8"/>
  <c r="AR43" i="8"/>
  <c r="AR16" i="8"/>
  <c r="AR70" i="8"/>
  <c r="AR74" i="8"/>
  <c r="AR116" i="8"/>
  <c r="AR33" i="8"/>
  <c r="AR62" i="8"/>
  <c r="AR60" i="8"/>
  <c r="AR19" i="8"/>
  <c r="AR98" i="8"/>
  <c r="AR96" i="8"/>
  <c r="AR13" i="8"/>
  <c r="AR109" i="8"/>
  <c r="AR46" i="8"/>
  <c r="AR94" i="8"/>
  <c r="AR14" i="8"/>
  <c r="AR36" i="8"/>
  <c r="AR81" i="8"/>
  <c r="AR61" i="8"/>
  <c r="AR21" i="8"/>
  <c r="AR78" i="8"/>
  <c r="AR48" i="8"/>
  <c r="AR23" i="8"/>
  <c r="AR49" i="8"/>
  <c r="AR64" i="8"/>
  <c r="AR73" i="8"/>
  <c r="AR80" i="8"/>
  <c r="AR67" i="8"/>
  <c r="AR91" i="8"/>
  <c r="AR31" i="8"/>
  <c r="AR76" i="8"/>
  <c r="AR65" i="8"/>
  <c r="AR107" i="8"/>
  <c r="AR47" i="8"/>
  <c r="AR106" i="8"/>
  <c r="AR27" i="8"/>
  <c r="AR71" i="8"/>
  <c r="AR11" i="8"/>
  <c r="AR50" i="8"/>
  <c r="AR59" i="8"/>
  <c r="AR104" i="8"/>
  <c r="AR93" i="8"/>
  <c r="AR66" i="8"/>
  <c r="AR101" i="8"/>
  <c r="AR103" i="8"/>
  <c r="AR17" i="8"/>
  <c r="AR32" i="8"/>
  <c r="AR35" i="8"/>
  <c r="AR100" i="8"/>
  <c r="AR12" i="8"/>
  <c r="AR72" i="8"/>
  <c r="AR40" i="8"/>
  <c r="AR77" i="8"/>
  <c r="AR25" i="8"/>
  <c r="AZ138" i="16"/>
  <c r="BA57" i="16"/>
  <c r="AZ236" i="16"/>
  <c r="AZ182" i="16"/>
  <c r="AZ243" i="16"/>
  <c r="AZ265" i="12"/>
  <c r="AZ249" i="12"/>
  <c r="BA9" i="12"/>
  <c r="AZ215" i="12"/>
  <c r="AZ196" i="12"/>
  <c r="AY193" i="16"/>
  <c r="AZ70" i="16"/>
  <c r="AP54" i="17" s="1"/>
  <c r="AZ7" i="33"/>
  <c r="AZ4" i="33"/>
  <c r="AZ8" i="33"/>
  <c r="AZ69" i="16"/>
  <c r="AP53" i="17" s="1"/>
  <c r="AZ3" i="33"/>
  <c r="AZ5" i="33"/>
  <c r="AZ265" i="16"/>
  <c r="AZ46" i="16"/>
  <c r="AZ114" i="16"/>
  <c r="AZ75" i="16"/>
  <c r="AZ249" i="16"/>
  <c r="AZ215" i="16"/>
  <c r="AZ196" i="16"/>
  <c r="AZ63" i="16"/>
  <c r="AP50" i="17" s="1"/>
  <c r="AZ61" i="16"/>
  <c r="AZ71" i="16"/>
  <c r="AP55" i="17" s="1"/>
  <c r="AZ110" i="16"/>
  <c r="AZ112" i="16"/>
  <c r="AZ162" i="16" s="1"/>
  <c r="AZ74" i="16"/>
  <c r="AZ66" i="16"/>
  <c r="AZ116" i="16"/>
  <c r="BA9" i="16"/>
  <c r="AZ65" i="16"/>
  <c r="AZ111" i="16"/>
  <c r="AZ115" i="16"/>
  <c r="AZ64" i="16"/>
  <c r="AZ60" i="16"/>
  <c r="AZ72" i="16"/>
  <c r="AP56" i="17" s="1"/>
  <c r="AZ76" i="16"/>
  <c r="AZ73" i="16"/>
  <c r="AY68" i="16"/>
  <c r="AY150" i="16"/>
  <c r="AY67" i="16"/>
  <c r="AY136" i="16"/>
  <c r="AZ281" i="16"/>
  <c r="AY247" i="16"/>
  <c r="AZ280" i="16"/>
  <c r="AY252" i="16"/>
  <c r="AY255" i="16" s="1"/>
  <c r="AY218" i="16"/>
  <c r="AY217" i="16"/>
  <c r="AY137" i="16"/>
  <c r="BA243" i="16" l="1"/>
  <c r="BA236" i="16"/>
  <c r="BA182" i="16"/>
  <c r="BA138" i="16"/>
  <c r="BA277" i="16"/>
  <c r="BA196" i="12"/>
  <c r="BA265" i="12"/>
  <c r="BA249" i="12"/>
  <c r="BA215" i="12"/>
  <c r="AZ68" i="16"/>
  <c r="AP52" i="17" s="1"/>
  <c r="AZ67" i="16"/>
  <c r="AP51" i="17" s="1"/>
  <c r="AZ150" i="16"/>
  <c r="AZ137" i="16"/>
  <c r="AP47" i="17" s="1"/>
  <c r="AZ217" i="16"/>
  <c r="AZ218" i="16"/>
  <c r="AZ193" i="16"/>
  <c r="BA69" i="16"/>
  <c r="AQ53" i="17" s="1"/>
  <c r="BA4" i="33"/>
  <c r="BA8" i="33"/>
  <c r="BA70" i="16"/>
  <c r="AQ54" i="17" s="1"/>
  <c r="BA3" i="33"/>
  <c r="BA5" i="33"/>
  <c r="BA7" i="33"/>
  <c r="BA114" i="16"/>
  <c r="BA74" i="16"/>
  <c r="BA115" i="16"/>
  <c r="BA215" i="16"/>
  <c r="BA112" i="16"/>
  <c r="BA71" i="16"/>
  <c r="AQ55" i="17" s="1"/>
  <c r="BA72" i="16"/>
  <c r="AQ56" i="17" s="1"/>
  <c r="BA73" i="16"/>
  <c r="BA66" i="16"/>
  <c r="BA46" i="16"/>
  <c r="BA61" i="16"/>
  <c r="BA60" i="16"/>
  <c r="BA265" i="16"/>
  <c r="BA249" i="16"/>
  <c r="BA65" i="16"/>
  <c r="BA76" i="16"/>
  <c r="BA64" i="16"/>
  <c r="BA110" i="16"/>
  <c r="BA111" i="16"/>
  <c r="BA196" i="16"/>
  <c r="BA75" i="16"/>
  <c r="BA116" i="16"/>
  <c r="BA63" i="16"/>
  <c r="AQ50" i="17" s="1"/>
  <c r="AZ247" i="16"/>
  <c r="AP48" i="17"/>
  <c r="BA280" i="16"/>
  <c r="AZ252" i="16"/>
  <c r="AZ255" i="16" s="1"/>
  <c r="BA281" i="16"/>
  <c r="AZ136" i="16"/>
  <c r="AP49" i="17"/>
  <c r="BA67" i="16" l="1"/>
  <c r="AQ51" i="17" s="1"/>
  <c r="BA68" i="16"/>
  <c r="AQ52" i="17" s="1"/>
  <c r="BA150" i="16"/>
  <c r="AQ49" i="17"/>
  <c r="BA136" i="16"/>
  <c r="BA247" i="16"/>
  <c r="AQ48" i="17"/>
  <c r="BA252" i="16"/>
  <c r="BA255" i="16" s="1"/>
  <c r="BA162" i="16"/>
  <c r="BA192" i="16"/>
  <c r="Z192" i="16"/>
  <c r="P192" i="16"/>
  <c r="U192" i="16"/>
  <c r="AJ192" i="16"/>
  <c r="S192" i="16"/>
  <c r="V192" i="16"/>
  <c r="AT192" i="16"/>
  <c r="AO192" i="16"/>
  <c r="AX192" i="16"/>
  <c r="AF192" i="16"/>
  <c r="AP192" i="16"/>
  <c r="Q192" i="16"/>
  <c r="AL192" i="16"/>
  <c r="AK192" i="16"/>
  <c r="AZ192" i="16"/>
  <c r="AM192" i="16"/>
  <c r="AG192" i="16"/>
  <c r="AD192" i="16"/>
  <c r="AU192" i="16"/>
  <c r="AW192" i="16"/>
  <c r="AE192" i="16"/>
  <c r="AN192" i="16"/>
  <c r="AC192" i="16"/>
  <c r="Y192" i="16"/>
  <c r="AR192" i="16"/>
  <c r="R192" i="16"/>
  <c r="W192" i="16"/>
  <c r="AQ192" i="16"/>
  <c r="AV192" i="16"/>
  <c r="AI192" i="16"/>
  <c r="AH192" i="16"/>
  <c r="AB192" i="16"/>
  <c r="T192" i="16"/>
  <c r="AA192" i="16"/>
  <c r="O192" i="16"/>
  <c r="N192" i="16"/>
  <c r="X192" i="16"/>
  <c r="AY192" i="16"/>
  <c r="AS192" i="16"/>
  <c r="BA218" i="16"/>
  <c r="BA137" i="16"/>
  <c r="AQ47" i="17" s="1"/>
  <c r="BA217" i="16"/>
  <c r="BA19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</author>
  </authors>
  <commentList>
    <comment ref="E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Przyjęto założenie że ta zmiana wpływa na 1.1.5 (bez rozróżnienia CIT/PIT/Subwencja)</t>
        </r>
      </text>
    </comment>
    <comment ref="E4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analizę wpływu na poz. [6], [6.1] należy zrobić samodzielnie </t>
        </r>
      </text>
    </comment>
    <comment ref="E41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analizę wpływu na poz. [6], [6.1] należy zrobić samodzielnie </t>
        </r>
      </text>
    </comment>
  </commentList>
</comments>
</file>

<file path=xl/sharedStrings.xml><?xml version="1.0" encoding="utf-8"?>
<sst xmlns="http://schemas.openxmlformats.org/spreadsheetml/2006/main" count="8540" uniqueCount="787">
  <si>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</si>
  <si>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</si>
  <si>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</si>
  <si>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</si>
  <si>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</si>
  <si>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</si>
  <si>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</si>
  <si>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</si>
  <si>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</si>
  <si>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</si>
  <si>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</si>
  <si>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</si>
  <si>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</si>
  <si>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</si>
  <si>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</si>
  <si>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</si>
  <si>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</si>
  <si>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</si>
  <si>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</si>
  <si>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</si>
  <si>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</si>
  <si>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</si>
  <si>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</si>
  <si>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</si>
  <si>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Rok bazowy:</t>
  </si>
  <si>
    <t>Dochody majątkowe, w tym:</t>
  </si>
  <si>
    <t>ze sprzedaży majątku</t>
  </si>
  <si>
    <t>x</t>
  </si>
  <si>
    <t>dochody ze sprzedaży majątku</t>
  </si>
  <si>
    <t>Analiza składowych wzoru wskaźnika z art. 243</t>
  </si>
  <si>
    <t>Rysunek z wskaźnikiem planistycznym</t>
  </si>
  <si>
    <t>Rysunek z wskaźnikiem wg wykonania</t>
  </si>
  <si>
    <t>1.1.1</t>
  </si>
  <si>
    <t>1.1.2</t>
  </si>
  <si>
    <t>1.1.3</t>
  </si>
  <si>
    <t>1.1.4</t>
  </si>
  <si>
    <t>1.1.5</t>
  </si>
  <si>
    <t>1.2.1</t>
  </si>
  <si>
    <t>1.2.2</t>
  </si>
  <si>
    <t>2.1.1</t>
  </si>
  <si>
    <t>2.1.2</t>
  </si>
  <si>
    <t>2.1.3</t>
  </si>
  <si>
    <t>2.1.3.1</t>
  </si>
  <si>
    <t>4.1.1</t>
  </si>
  <si>
    <t>4.2.1</t>
  </si>
  <si>
    <t>4.3.1</t>
  </si>
  <si>
    <t>4.4.1</t>
  </si>
  <si>
    <t>Rozchody budżetu</t>
  </si>
  <si>
    <t>5.1.1</t>
  </si>
  <si>
    <t>5.1.1.1</t>
  </si>
  <si>
    <t>Finansowanie programów, projektów lub zadań realizowanych z udziałem środków, o których mowa w art. 5 ust. 1 pkt 2 i 3 ustawy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</si>
  <si>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</si>
  <si>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</si>
  <si>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</si>
  <si>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</si>
  <si>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</si>
  <si>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</si>
  <si>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</si>
  <si>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</si>
  <si>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</si>
  <si>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</si>
  <si>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</si>
  <si>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</si>
  <si>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</si>
  <si>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</si>
  <si>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</si>
  <si>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</si>
  <si>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</si>
  <si>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</si>
  <si>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</si>
  <si>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</si>
  <si>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</si>
  <si>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</si>
  <si>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</si>
  <si>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</si>
  <si>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</si>
  <si>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</si>
  <si>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</si>
  <si>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</si>
  <si>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</si>
  <si>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</si>
  <si>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</si>
  <si>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</si>
  <si>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</si>
  <si>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</si>
  <si>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</si>
  <si>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</si>
  <si>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</si>
  <si>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</si>
  <si>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</si>
  <si>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</si>
  <si>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</si>
  <si>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</si>
  <si>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</si>
  <si>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Inne rozchody niezwiązane ze spłatą długu</t>
  </si>
  <si>
    <t>bieżące</t>
  </si>
  <si>
    <t>majątkowe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</si>
  <si>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</si>
  <si>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</si>
  <si>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</si>
  <si>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</si>
  <si>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</si>
  <si>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Różnica między dochodami bieżącymi a wydatkami bieżącymi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</si>
  <si>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</si>
  <si>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</si>
  <si>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</si>
  <si>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</si>
  <si>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</si>
  <si>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</si>
  <si>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</si>
  <si>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</si>
  <si>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</si>
  <si>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</si>
  <si>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</si>
  <si>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</si>
  <si>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</si>
  <si>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</si>
  <si>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</si>
  <si>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</si>
  <si>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</si>
  <si>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</si>
  <si>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</si>
  <si>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</si>
  <si>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</si>
  <si>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</si>
  <si>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</si>
  <si>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</si>
  <si>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</si>
  <si>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</si>
  <si>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</si>
  <si>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</si>
  <si>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</si>
  <si>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</si>
  <si>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</si>
  <si>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</si>
  <si>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</si>
  <si>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</si>
  <si>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</si>
  <si>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</si>
  <si>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</si>
  <si>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</si>
  <si>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</si>
  <si>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</si>
  <si>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</si>
  <si>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</si>
  <si>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Kontrola poprawności zbilansowania budżetu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</si>
  <si>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</si>
  <si>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</si>
  <si>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</si>
  <si>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[1.2] &gt;= [1.2.1]</t>
  </si>
  <si>
    <t>Reguła logiczna:  [1.2] &gt;= [1.2.2]</t>
  </si>
  <si>
    <t>Reguła logiczna:  [2.1] &gt;= ([2.1.1] + [2.1.2] + [2.1.3])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</si>
  <si>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</si>
  <si>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</si>
  <si>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</si>
  <si>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</si>
  <si>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[5.1.1]</t>
  </si>
  <si>
    <t>Reguła formalna</t>
  </si>
  <si>
    <t>Reguła rachunkowa</t>
  </si>
  <si>
    <t>Nr Uchwały:</t>
  </si>
  <si>
    <t>Plan 3 kw.</t>
  </si>
  <si>
    <t xml:space="preserve">Wykonanie </t>
  </si>
  <si>
    <t>Reguły kontrolne</t>
  </si>
  <si>
    <t>[6]"n" = [6]"n-1" + [4.3]"n" - [5.1]"n" +  ([14.2]"n"-[14.2]"n-1") + [14.4]</t>
  </si>
  <si>
    <t xml:space="preserve">[14.2] "n" =  ( [14.2]  "n-1" -  [14.3] "n" ) </t>
  </si>
  <si>
    <t>X</t>
  </si>
  <si>
    <t>rokwzgl</t>
  </si>
  <si>
    <t xml:space="preserve">Poniższej tabeli WPF nie należy modyfikować. </t>
  </si>
  <si>
    <t>5.1.1.2</t>
  </si>
  <si>
    <t>5.1.1.3</t>
  </si>
  <si>
    <t>Dane dotyczące emitowanych obligacji przychodowych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</si>
  <si>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</si>
  <si>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</si>
  <si>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Kwota zobowiązań związku współtworzonego przez jednostkę samorządu terytorialnego przypadających do spłaty w danym roku budżetowym, podlegająca doliczeniu zgodnie z art. 244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</si>
  <si>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</si>
  <si>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środki na zaspokojenie roszczeń obligatariuszy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</si>
  <si>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</si>
  <si>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z eWPF</t>
  </si>
  <si>
    <t>dane z Rb</t>
  </si>
  <si>
    <t>dane z eWPF</t>
  </si>
  <si>
    <t>nrWer</t>
  </si>
  <si>
    <t>nr wersji:</t>
  </si>
  <si>
    <t xml:space="preserve">  Dochody bieżące, z tego:</t>
  </si>
  <si>
    <t xml:space="preserve">    dochody z tytułu udziału we wpływach z podatku dochodowego od osób fizycznych</t>
  </si>
  <si>
    <t xml:space="preserve">    dochody z tytułu udziału we wpływach z podatku dochodowego od osób prawnych</t>
  </si>
  <si>
    <t xml:space="preserve">    z subwencji ogólnej</t>
  </si>
  <si>
    <t xml:space="preserve">    z tytułu dotacji i środków przeznaczonych na cele bieżące</t>
  </si>
  <si>
    <t xml:space="preserve">    pozostałe dochody bieżące, w tym:</t>
  </si>
  <si>
    <t xml:space="preserve">      z podatku od nieruchomości</t>
  </si>
  <si>
    <t xml:space="preserve">  Dochody majątkowe, w tym:</t>
  </si>
  <si>
    <t xml:space="preserve">    ze sprzedaży majątku</t>
  </si>
  <si>
    <t xml:space="preserve">    z tytułu dotacji oraz środków przeznaczonych na inwestycje</t>
  </si>
  <si>
    <t xml:space="preserve">  Wydatki bieżące, w tym:</t>
  </si>
  <si>
    <t xml:space="preserve">    na wynagrodzenia i składki od nich naliczane</t>
  </si>
  <si>
    <t xml:space="preserve">    z tytułu poręczeń i gwarancji, w tym:</t>
  </si>
  <si>
    <t xml:space="preserve">      gwarancje i poręczenia podlegające wyłączeniu z limitu spłaty zobowiązań, o którym mowa w art. 243 ustawy</t>
  </si>
  <si>
    <t xml:space="preserve">    wydatki na obsługę długu, w tym:</t>
  </si>
  <si>
    <t xml:space="preserve">  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</si>
  <si>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  odsetki i dyskonto podlegające wyłączeniu z limitu spłaty zobowiązań, o którym mowa w art. 243 ustawy, z tytułu zobowiązań  zaciągniętych na wkład krajowy</t>
  </si>
  <si>
    <t xml:space="preserve">  Wydatki majątkowe, w tym:</t>
  </si>
  <si>
    <t xml:space="preserve">    Inwestycje i zakupy inwestycyjne, o których mowa w art. 236 ust. 4 pkt 1 ustawy, w tym:</t>
  </si>
  <si>
    <t xml:space="preserve">      wydatki o charakterze dotacyjnym na inwestycje i zakupy inwestycyjne</t>
  </si>
  <si>
    <t xml:space="preserve">  Kwota prognozowanej nadwyżki budżetu przeznaczana na spłatę kredytów, pożyczek i wykup papierów wartościowych</t>
  </si>
  <si>
    <t xml:space="preserve">  Kredyty, pożyczki, emisja papierów wartościowych, w tym:</t>
  </si>
  <si>
    <t xml:space="preserve">    na pokrycie deficytu budżetu </t>
  </si>
  <si>
    <t xml:space="preserve">  Nadwyżka budżetowa z lat ubiegłych, w tym:</t>
  </si>
  <si>
    <t xml:space="preserve">    na pokrycie deficytu budżetu</t>
  </si>
  <si>
    <t xml:space="preserve">  Wolne środki, o których mowa w art. 217 ust. 2 pkt 6 ustawy, w tym:</t>
  </si>
  <si>
    <t xml:space="preserve">  Spłaty udzielonych pożyczek w latach ubiegłych, w tym:</t>
  </si>
  <si>
    <t xml:space="preserve">  Inne przychody niezwiązane z zaciągnięciem długu, w tym:</t>
  </si>
  <si>
    <t xml:space="preserve">  Spłaty rat kapitałowych kredytów i pożyczek oraz wykup papierów wartościowych, w tym:</t>
  </si>
  <si>
    <t xml:space="preserve">    łączna kwota przypadających na dany rok kwot ustawowych wyłączeń z limitu spłaty zobowiązań, w tym:</t>
  </si>
  <si>
    <t xml:space="preserve">      kwota przypadających na dany rok kwot wyłączeń określonych w art. 243 ust. 3 ustawy</t>
  </si>
  <si>
    <t xml:space="preserve">      kwota przypadających na dany rok kwot wyłączeń określonych w art. 243 ust. 3a ustawy</t>
  </si>
  <si>
    <t xml:space="preserve">      kwota wyłączeń z tytułu wcześniejszej spłaty zobowiązań, określonych w art. 243 ust. 3b  ustawy, z tego:</t>
  </si>
  <si>
    <t xml:space="preserve">        środkami nowego zobowiązania</t>
  </si>
  <si>
    <t xml:space="preserve">        wolnymi środkami, o których mowa w art. 217 ust. 2 pkt 6 ustawy</t>
  </si>
  <si>
    <t xml:space="preserve">        innymi środkami</t>
  </si>
  <si>
    <t xml:space="preserve">  Inne rozchody niezwiązane ze spłatą długu</t>
  </si>
  <si>
    <t>Kwota długu, w tym:</t>
  </si>
  <si>
    <t xml:space="preserve">  kwota długu, którego planowana spłata dokona się z wydatków</t>
  </si>
  <si>
    <t xml:space="preserve">  Różnica między dochodami bieżącymi a  wydatkami bieżącymi</t>
  </si>
  <si>
    <t xml:space="preserve">  Różnica między dochodami bieżącymi, skorygowanymi o środki a wydatkami bieżącymi, pomniejszonymi  o wydatki</t>
  </si>
  <si>
    <t xml:space="preserve">  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</si>
  <si>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 xml:space="preserve">  8.1_vROD_2020</t>
  </si>
  <si>
    <t xml:space="preserve">  8.1_vROD_2026</t>
  </si>
  <si>
    <t xml:space="preserve">  Wskaźnik jednoroczny określony po prawej stronie nierówności we wzorze, o którym mowa w art. 243 ust. 1 ustawy, ustalony dla danego roku (wskaźnik jednoroczny)</t>
  </si>
  <si>
    <t xml:space="preserve">  8.2_v2020</t>
  </si>
  <si>
    <t xml:space="preserve">  8.2_v2026</t>
  </si>
  <si>
    <t xml:space="preserve">  Dopuszczalny limit spłaty zobowiązań określony po  prawej stronie 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</si>
  <si>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 prawej stronie 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</si>
  <si>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</si>
  <si>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</si>
  <si>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Finansowanie programów, projektów lub zadań realizowanych z udziałem środków, o których mowa w art. 5 ust. 1 pkt 2 i 3  ustawy</t>
  </si>
  <si>
    <t xml:space="preserve">  Dochody bieżące na programy, projekty lub zadania finansowane z udziałem środków, o których mowa w art. 5 ust. 1 pkt 2 i 3 ustawy</t>
  </si>
  <si>
    <t xml:space="preserve">    Dotacje i środki o charakterze bieżącym na realizację programu, projektu lub zadania finansowanego z udziałem środków, o których mowa w art. 5 ust. 1 pkt 2 ustawy, w tym:</t>
  </si>
  <si>
    <t xml:space="preserve">      środki określone w art. 5 ust. 1 pkt 2 ustawy</t>
  </si>
  <si>
    <t xml:space="preserve">  Dochody majątkowe na programy, projekty lub zadania finansowane z udziałem środków, o których mowa w art. 5 ust. 1 pkt 2 i 3 ustawy</t>
  </si>
  <si>
    <t xml:space="preserve">    Dochody majątkowe  na programy, projekty lub zadania finansowane z udziałem środków, o których mowa w art. 5 ust. 1 pkt 2 ustawy, w tym:</t>
  </si>
  <si>
    <t xml:space="preserve">  Wydatki bieżące na programy, projekty lub zadania finansowane z udziałem środków, o których mowa w art. 5 ust. 1 pkt 2 i 3 ustawy</t>
  </si>
  <si>
    <t xml:space="preserve">    Wydatki bieżące na programy, projekty lub zadania finansowane z udziałem środków, o których mowa w art. 5 ust. 1 pkt 2 ustawy, w tym:</t>
  </si>
  <si>
    <t xml:space="preserve">      finansowane środkami określonymi w art. 5 ust. 1 pkt 2 ustawy</t>
  </si>
  <si>
    <t xml:space="preserve">  Wydatki majątkowe na programy, projekty lub zadania finansowane z udziałem środków, o których mowa w art. 5 ust. 1 pkt 2 i 3 ustawy</t>
  </si>
  <si>
    <t xml:space="preserve">    Wydatki majątkowe na programy, projekty lub zadania finansowane z udziałem środków, o których mowa w art. 5 ust. 1 pkt 2 ustawy, w tym:</t>
  </si>
  <si>
    <t>Informacje uzupełniające o wybranych kategoriach finansowych</t>
  </si>
  <si>
    <t>Wydatki objęte limitem, o którym mowa w art. 226 ust. 3 pkt 4 ustawy, z tego:</t>
  </si>
  <si>
    <t xml:space="preserve">  bieżące</t>
  </si>
  <si>
    <t xml:space="preserve">  majątkowe</t>
  </si>
  <si>
    <t xml:space="preserve">  Wydatki bieżące na pokrycie ujemnego wyniku finansowego samodzielnego publicznego zakładu opieki zdrowotnej </t>
  </si>
  <si>
    <t xml:space="preserve">  Wydatki na spłatę zobowiązań przejmowanych w związku z likwidacją lub przekształceniem samodzielnego publicznego zakładu opieki zdrowotnej </t>
  </si>
  <si>
    <t xml:space="preserve">  Kwota zobowiązań związku współtworzonego przez jednostkę samorządu terytorialnego przypadających do spłaty w danym roku budżetowym, podlegająca doliczeniu zgodnie z art. 244 ustawy </t>
  </si>
  <si>
    <t xml:space="preserve">  Kwota zobowiązań wynikających z przejęcia przez jednostkę samorządu terytorialnego zobowiązań po likwidowanych i przekształcanych samorządowych osobach prawnych</t>
  </si>
  <si>
    <t xml:space="preserve">  Spłaty, o których mowa w pkt. 5.1., wynikające wyłącznie z tytułu zobowiązań już zaciągniętych</t>
  </si>
  <si>
    <t xml:space="preserve">  Wydatki zmniejszające dług, w tym:</t>
  </si>
  <si>
    <t xml:space="preserve">    spłata zobowiązań wymagalnych z lat poprzednich, innych niż w pkt 10.7.3.</t>
  </si>
  <si>
    <t xml:space="preserve">    spłata zobowiązań zaliczanych do tytułu dłużnego – kredyt i pożyczka, w tym:</t>
  </si>
  <si>
    <t xml:space="preserve">      zobowiązań zaciągniętych po dniu 1 stycznia 2019 r. ,w tym:</t>
  </si>
  <si>
    <t xml:space="preserve">        dokonywana w formie wydatku bieżącego</t>
  </si>
  <si>
    <t xml:space="preserve">    wypłaty z tytułu wymagalnych poręczeń i gwarancji </t>
  </si>
  <si>
    <t xml:space="preserve">  Kwota wzrostu(+)/spadku(-) kwoty długu wynikająca z operacji niekasowych (m.in. umorzenia, różnice kursowe)</t>
  </si>
  <si>
    <t xml:space="preserve">  Wcześniejsza spłata zobowiązań, wyłączona z limitu spłaty zobowiązań, dokonywana w formie wydatków budżetowych</t>
  </si>
  <si>
    <t xml:space="preserve">  Środki z przedsięwzięcia gromadzone na rachunku bankowym,  w tym:</t>
  </si>
  <si>
    <t xml:space="preserve">    środki na zaspokojenie roszczeń obligatariuszy </t>
  </si>
  <si>
    <t xml:space="preserve">  Wydatki bieżące z tytułu świadczenia emitenta należnego obligatariuszom,  nieuwzględniane  w limicie spłaty zobowiązań </t>
  </si>
  <si>
    <t>Stopnie niezachowania relacji określonych w art. 242-244 w przypadku określonym w ... ustawy</t>
  </si>
  <si>
    <t xml:space="preserve">  Stopień niezachowania relacji zrównoważenia wydatków bieżących,  o której mowa w poz. 7.2.</t>
  </si>
  <si>
    <t xml:space="preserve">  Stopień niezachowania wskaźnika spłaty zobowiązań,  o którym mowa w poz. 8.4.</t>
  </si>
  <si>
    <t xml:space="preserve">  Stopień niezachowania wskaźnika spłaty zobowiązań,  o którym mowa w poz. 8.4.1.</t>
  </si>
  <si>
    <t>1.1.5.1</t>
  </si>
  <si>
    <t>2.1.2.1</t>
  </si>
  <si>
    <t>2.1.3.2</t>
  </si>
  <si>
    <t>2.2.1</t>
  </si>
  <si>
    <t>2.2.1.1</t>
  </si>
  <si>
    <t>4.5.1</t>
  </si>
  <si>
    <t>5.1.1.3.1</t>
  </si>
  <si>
    <t>5.1.1.3.2</t>
  </si>
  <si>
    <t>5.1.1.3.3</t>
  </si>
  <si>
    <t>8.1_vROD_2020</t>
  </si>
  <si>
    <t>8.1_vROD_2026</t>
  </si>
  <si>
    <t>8.2_v2020</t>
  </si>
  <si>
    <t>8.2_v2026</t>
  </si>
  <si>
    <t>8.3.1</t>
  </si>
  <si>
    <t>8.4.1</t>
  </si>
  <si>
    <t>9.1.1</t>
  </si>
  <si>
    <t>9.1.1.1</t>
  </si>
  <si>
    <t>9.2.1</t>
  </si>
  <si>
    <t>9.2.1.1</t>
  </si>
  <si>
    <t>9.3.1</t>
  </si>
  <si>
    <t>9.3.1.1</t>
  </si>
  <si>
    <t>9.4.1</t>
  </si>
  <si>
    <t>9.4.1.1</t>
  </si>
  <si>
    <t>10.1.1</t>
  </si>
  <si>
    <t>10.1.2</t>
  </si>
  <si>
    <t>10.7.1</t>
  </si>
  <si>
    <t>10.7.2</t>
  </si>
  <si>
    <t>10.7.2.1</t>
  </si>
  <si>
    <t>10.7.2.1.1</t>
  </si>
  <si>
    <t>10.7.3</t>
  </si>
  <si>
    <t>11.1.1</t>
  </si>
  <si>
    <t>3.1</t>
  </si>
  <si>
    <t>4.5</t>
  </si>
  <si>
    <t>7.1</t>
  </si>
  <si>
    <t>7.2</t>
  </si>
  <si>
    <t>8.3</t>
  </si>
  <si>
    <t>8.4</t>
  </si>
  <si>
    <t>10.2</t>
  </si>
  <si>
    <t>10.3</t>
  </si>
  <si>
    <t>10.4</t>
  </si>
  <si>
    <t>10.5</t>
  </si>
  <si>
    <t>10.6</t>
  </si>
  <si>
    <t>10.7</t>
  </si>
  <si>
    <t>10.8</t>
  </si>
  <si>
    <t>10.9</t>
  </si>
  <si>
    <t>Dochody bieżące, z tego:</t>
  </si>
  <si>
    <t>pozostałe dochody bieżące, w tym:</t>
  </si>
  <si>
    <t>na wynagrodzenia i składki od nich naliczane</t>
  </si>
  <si>
    <t>gwarancje i poręczenia podlegające wyłączeniu z limitu spłaty zobowiązań, o którym mowa w art. 243 ustawy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</si>
  <si>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</si>
  <si>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</si>
  <si>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</si>
  <si>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wydatki o charakterze dotacyjnym na inwestycje i zakupy inwestycyjne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</si>
  <si>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</si>
  <si>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</si>
  <si>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</si>
  <si>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</si>
  <si>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</si>
  <si>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</si>
  <si>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</si>
  <si>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środkami nowego zobowiązania</t>
  </si>
  <si>
    <t>wolnymi środkami, o których mowa w art. 217 ust. 2 pkt 6 ustawy</t>
  </si>
  <si>
    <t>innymi środkami</t>
  </si>
  <si>
    <t>kwota długu, którego planowana spłata dokona się z wydatków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</si>
  <si>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</si>
  <si>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</si>
  <si>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</si>
  <si>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Dochody bieżące na programy, projekty lub zadania finansowane z udziałem środków, o których mowa w art. 5 ust. 1 pkt 2 i 3 ustawy</t>
  </si>
  <si>
    <t>Dotacje i środki o charakterze bieżącym na realizację programu, projektu lub zadania finansowanego z udziałem środków, o których mowa w art. 5 ust. 1 pkt 2 ustawy, w tym:</t>
  </si>
  <si>
    <t>środki określone w art. 5 ust. 1 pkt 2 ustawy</t>
  </si>
  <si>
    <t>Dochody majątkowe na programy, projekty lub zadania finansowane z udziałem środków, o których mowa w art. 5 ust. 1 pkt 2 i 3 ustawy</t>
  </si>
  <si>
    <t>Dochody majątkowe na programy, projekty lub zadania finansowane z udziałem środków, o których mowa w art. 5 ust. 1 pkt 2 ustawy, w tym: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</si>
  <si>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</si>
  <si>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</si>
  <si>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</si>
  <si>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</si>
  <si>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</si>
  <si>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Spłaty, o których mowa w pkt. 5.1., wynikające wyłącznie z tytułu zobowiązań już zaciągniętych</t>
  </si>
  <si>
    <t>spłata zobowiązań wymagalnych z lat poprzednich, innych niż w pkt 10.7.3.</t>
  </si>
  <si>
    <t>spłata zobowiązań zaliczanych do tytułu dłużnego – kredyt i pożyczka, w tym:</t>
  </si>
  <si>
    <t>zobowiązań zaciągniętych po dniu 1 stycznia 2019 r. ,w tym:</t>
  </si>
  <si>
    <t>dokonywana w formie wydatku bieżącego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</si>
  <si>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</si>
  <si>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</si>
  <si>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Środki z przedsięwzięcia gromadzone na rachunku bankowym, w tym:</t>
  </si>
  <si>
    <t>Wydatki bieżące z tytułu świadczenia emitenta należnego obligatariuszom, nieuwzględniane w limicie spłaty zobowiązań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</si>
  <si>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</si>
  <si>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</si>
  <si>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</si>
  <si>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dochody bieżące</t>
  </si>
  <si>
    <t>dochody majątkowe</t>
  </si>
  <si>
    <t>wydatki bieżące</t>
  </si>
  <si>
    <t>wydatki na obsługę długu</t>
  </si>
  <si>
    <t>wydatki majątkowe</t>
  </si>
  <si>
    <t>kwota długu</t>
  </si>
  <si>
    <t>wydatki na wynagrodzenia i pochodne</t>
  </si>
  <si>
    <t xml:space="preserve">   wydatki bieżące na przedsięwzięcia</t>
  </si>
  <si>
    <t xml:space="preserve">   wydatki majątkowe na przedsięwzięcia</t>
  </si>
  <si>
    <t>spłata rat kapitałowych (kredyty, pożyczki, obligacje)</t>
  </si>
  <si>
    <t>nadwyżka operacyjna (Db-Wb)</t>
  </si>
  <si>
    <t>(R + O) / Db</t>
  </si>
  <si>
    <t>średnia z art. 243 (plan III kw N-1)</t>
  </si>
  <si>
    <t>średnia z art. 243 (wykonanie IV kw N-1)</t>
  </si>
  <si>
    <t>6</t>
  </si>
  <si>
    <t>[1.1] =  ([1.1.1] + [1.1.2] + [1.1.3] + [1.1.4] + [1.1.5]) od (N do N+3)</t>
  </si>
  <si>
    <t>[1.1] &gt;=  ([1.1.1] + [1.1.2] + [1.1.3] + [1.1.4] + [1.1.5]) (od N+4)</t>
  </si>
  <si>
    <t>Reguła logiczna:  [1.1] =  ([1.1.1] + [1.1.2] + [1.1.3] + [1.1.4] + [1.1.5]) {od N do N+3}</t>
  </si>
  <si>
    <t>Reguła logiczna:  [1.1] &gt;=  ([1.1.1] + [1.1.2] + [1.1.3] + [1.1.4] + [1.1.5]) {od N+4}</t>
  </si>
  <si>
    <t>[1.1] &gt;= [9.1]</t>
  </si>
  <si>
    <t>Reguła logiczna:  [1.1] &gt;= [9.1]</t>
  </si>
  <si>
    <t>Reguła logiczna:  [1.1] &gt;= [11.1.1]</t>
  </si>
  <si>
    <t>[1.1] &gt;= [11.1.1]</t>
  </si>
  <si>
    <t>[1.1.5] &gt;= [1.1.5.1]</t>
  </si>
  <si>
    <t>Reguła logiczna:  [1.1.5] &gt;= [1.1.5.1]</t>
  </si>
  <si>
    <t>Reguła logiczna:  [1.2] &gt;= [9.2]</t>
  </si>
  <si>
    <t>[1.2] &gt;= [9.2]</t>
  </si>
  <si>
    <t>([6]  = [6]"n-1" + [4.1] - [5.1] + ([6.1] - [6.1]"n-1")  + [10.8])</t>
  </si>
  <si>
    <t>[7.2] &gt;= 0</t>
  </si>
  <si>
    <t>[2.1] &gt;= [9.3]</t>
  </si>
  <si>
    <t>[2.1] &gt;= [10.1.1]</t>
  </si>
  <si>
    <t>[2.1] &gt;= [10.2]</t>
  </si>
  <si>
    <t>[2.1] &gt;= [10.3]</t>
  </si>
  <si>
    <t>[2.1] &gt;= [10.7.2.1.1]</t>
  </si>
  <si>
    <t>[2.1] &gt;= [11.2]</t>
  </si>
  <si>
    <t>[2.1.2] &gt;= [2.1.2.1]</t>
  </si>
  <si>
    <t>[2.1.2] &gt;= [10.7.3]</t>
  </si>
  <si>
    <t>[2.1.3] &gt;= [2.1.3.1] + [2.1.3.2]</t>
  </si>
  <si>
    <t>[2.2] &gt;= [2.2.1]</t>
  </si>
  <si>
    <t xml:space="preserve">[2.2] &gt;= [9.4] </t>
  </si>
  <si>
    <t>[2.2] &gt;= [10.1.2]</t>
  </si>
  <si>
    <t>[2.2] &gt;= ([10.7.2.1]  - [10.7.2.1.1])</t>
  </si>
  <si>
    <t>[2.2.1] &gt;= [2.2.1.1]</t>
  </si>
  <si>
    <t>[4.5] &gt;= [4.5.1]</t>
  </si>
  <si>
    <t>[5.1] &gt;= [3.1]</t>
  </si>
  <si>
    <t>[5.1] &lt;&gt; [10.6] (zmiana umów?)</t>
  </si>
  <si>
    <t>[6] &gt;= [6.1]</t>
  </si>
  <si>
    <t>[5.1.1] &gt;=[5.1.1.1] + [5.1.1.2] + [5.1.1.3] (inne wyłączenia?)</t>
  </si>
  <si>
    <t>[5.1.1.3] = [5.1.1.3.1]+[5.1.1.3.2]+[5.1.1.3.3]</t>
  </si>
  <si>
    <t xml:space="preserve">[6.1] "n" =  ( [6.1]  "n-1" -  [10.7] "n" ) </t>
  </si>
  <si>
    <t>jeśli [3] &gt;= 0 to gdy ([3] - [3.1]) &gt; 0 wtedy kwotę różnicy znajdź w objaśnieniach</t>
  </si>
  <si>
    <t>[9.1] &gt;= [9.1.1]</t>
  </si>
  <si>
    <t>[9.1.1] &gt;= [9.1.1.1]</t>
  </si>
  <si>
    <t>[9.2] &gt;= [9.2.1]</t>
  </si>
  <si>
    <t>[9.2.1] &gt;= [9.2.1.1]</t>
  </si>
  <si>
    <t>[9.3] &gt;= [9.3.1]</t>
  </si>
  <si>
    <t>[9.3.1] &gt;= [9.3.1.1]</t>
  </si>
  <si>
    <t>[9.4] &gt;= [9.4.1]</t>
  </si>
  <si>
    <t>[9.4.1] &gt;= [9.4.1.1]</t>
  </si>
  <si>
    <t xml:space="preserve">[10.7] &gt;= [10.7.1] + [10.7.2] + [10.7.3] </t>
  </si>
  <si>
    <t>[10.7.2] &gt; [10.7.2.1]</t>
  </si>
  <si>
    <t>[10.7.2.1] &gt; [10.7.2.1.1]</t>
  </si>
  <si>
    <t>[10.7.2.1] &gt;= [10.9]</t>
  </si>
  <si>
    <t>[11.1] &gt;= [11.1.1]</t>
  </si>
  <si>
    <t>Reguła logiczna:  [2.1] &gt;= [9.3]</t>
  </si>
  <si>
    <t>Reguła logiczna:  [2.1] &gt;= [10.1.1]</t>
  </si>
  <si>
    <t>Reguła logiczna:  [2.1] &gt;= [10.2]</t>
  </si>
  <si>
    <t>Reguła logiczna:  [2.1] &gt;= [10.3]</t>
  </si>
  <si>
    <t>Reguła logiczna:  [2.1] &gt;= [10.7.2.1.1]</t>
  </si>
  <si>
    <t>Reguła logiczna:  [2.1] &gt;= [11.2]</t>
  </si>
  <si>
    <t>Reguła logiczna:  [2.1.2] &gt;= [2.1.2.1]</t>
  </si>
  <si>
    <t>Reguła logiczna:  [2.1.2] &gt;= [10.7.3]</t>
  </si>
  <si>
    <t>Reguła logiczna:  [2.2] &gt;= [2.2.1]</t>
  </si>
  <si>
    <t xml:space="preserve">Reguła logiczna:  [2.2] &gt;= [9.4] </t>
  </si>
  <si>
    <t>Reguła logiczna:  [2.2] &gt;= [10.1.2]</t>
  </si>
  <si>
    <t>Reguła logiczna:  [2.2] &gt;= ([10.7.2.1]  - [10.7.2.1.1])</t>
  </si>
  <si>
    <t>Reguła logiczna:  [2.2.1] &gt;= [2.2.1.1]</t>
  </si>
  <si>
    <t>Reguła logiczna:  [4.5] &gt;= [4.5.1]</t>
  </si>
  <si>
    <t>Reguła logiczna:  [5.1] &gt;= [3.1]</t>
  </si>
  <si>
    <t>Reguła logiczna:  [5.1.1.3] = [5.1.1.3.1]+[5.1.1.3.2]+[5.1.1.3.3]</t>
  </si>
  <si>
    <t>Reguła logiczna:  [6] &gt;= [6.1]</t>
  </si>
  <si>
    <t>Reguła logiczna:  [9.1] &gt;= [9.1.1]</t>
  </si>
  <si>
    <t>Reguła logiczna:  [9.1.1] &gt;= [9.1.1.1]</t>
  </si>
  <si>
    <t>Reguła logiczna:  [9.2] &gt;= [9.2.1]</t>
  </si>
  <si>
    <t>Reguła logiczna:  [9.2.1] &gt;= [9.2.1.1]</t>
  </si>
  <si>
    <t>Reguła logiczna:  [9.3] &gt;= [9.3.1]</t>
  </si>
  <si>
    <t>Reguła logiczna:  [9.3.1] &gt;= [9.3.1.1]</t>
  </si>
  <si>
    <t>Reguła logiczna:  [9.4] &gt;= [9.4.1]</t>
  </si>
  <si>
    <t>Reguła logiczna:  [9.4.1] &gt;= [9.4.1.1]</t>
  </si>
  <si>
    <t>Reguła logiczna:  [10.7.2] &gt; [10.7.2.1]</t>
  </si>
  <si>
    <t>Reguła logiczna:  [10.7.2.1] &gt; [10.7.2.1.1]</t>
  </si>
  <si>
    <t>Reguła logiczna:  [10.7.2.1] &gt;= [10.9]</t>
  </si>
  <si>
    <t>Reguła logiczna:  [11.1] &gt;= [11.1.1]</t>
  </si>
  <si>
    <t>Legenda:</t>
  </si>
  <si>
    <t>Komórki oznaczone tym tłem są wyliczane automatycznie (nie edytować)</t>
  </si>
  <si>
    <t>Analiza WPF na podstawie danych pobranych z poniższego dokumentu:</t>
  </si>
  <si>
    <t>RokMaxProg</t>
  </si>
  <si>
    <t>RokBazowy</t>
  </si>
  <si>
    <t>+ Nadwyżka budżetowa z lat ubiegłych i wolne środki</t>
  </si>
  <si>
    <t>+ przychody bezwrotne (np. spłata pożyczek udzielonych)</t>
  </si>
  <si>
    <t>- Inne rozchody (np. udzielenie pożyczki)</t>
  </si>
  <si>
    <t>= Nadwyżka/deficyt środków finansowych</t>
  </si>
  <si>
    <t>+ przychody zwrotne (dług) w formie np. kredytu</t>
  </si>
  <si>
    <t>= Wynik finansowy budżetu</t>
  </si>
  <si>
    <t xml:space="preserve"> - Obsługa długu (wydatki na obsługę długu)</t>
  </si>
  <si>
    <t xml:space="preserve"> - Spłata długu (rozchody)</t>
  </si>
  <si>
    <t>= środki budżetu na wydatki majątkowe i inne rozchody</t>
  </si>
  <si>
    <t>= środki do dyspozycji na spłatę i obsługę długu</t>
  </si>
  <si>
    <t xml:space="preserve">Dochody ogółem </t>
  </si>
  <si>
    <t>(kwota dochodów majątkowych z tytułu dotacji oraz środków przeznaczonych na inwestycje - informacyjnie)</t>
  </si>
  <si>
    <t>Wydatki majątkowe nie objęte limitem na przedsięwzięcia [2.2] - [10.1.2]</t>
  </si>
  <si>
    <t>Spłaty rat kapitału (kredytu/pożyczki/obligacj) nie objęte jeszcze umowami [5.1] - [10.6]</t>
  </si>
  <si>
    <t>Lp</t>
  </si>
  <si>
    <t>- Wydatki bieżące (bez wydatków na obsługę długu i spłat rat zobowiązań z poz. 10.7.2.1.1)</t>
  </si>
  <si>
    <t xml:space="preserve"> - Spłata długu (wydatki majątkowe [10.7.2.1 - 10.7.2.1.1])</t>
  </si>
  <si>
    <t>DOCHODY</t>
  </si>
  <si>
    <t>PRZYCHODY</t>
  </si>
  <si>
    <t>ROZCHODY</t>
  </si>
  <si>
    <t>OBSŁUGA DŁUGU I PORĘCZENIA</t>
  </si>
  <si>
    <t>WYDATKI (bez obsługi długu)</t>
  </si>
  <si>
    <t>poz. [1.1] oraz [1.x] inne niż [1.1.4]</t>
  </si>
  <si>
    <t>wyłącznie [1.1.4] oraz [1.1]</t>
  </si>
  <si>
    <t>poz. [4.1]</t>
  </si>
  <si>
    <t>poz. [4.2]</t>
  </si>
  <si>
    <t>poz. [4.3]</t>
  </si>
  <si>
    <t>poz. [4.4]</t>
  </si>
  <si>
    <t>poz. [4.5]</t>
  </si>
  <si>
    <t>tylko poz. [2.1]</t>
  </si>
  <si>
    <t>ZMIANA dochodów BIEŻĄCYCH (innych niż dotacje i środki na cele bieżące)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</si>
  <si>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bieżące</t>
    </r>
    <r>
      <rPr>
        <sz val="9"/>
        <color indexed="8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NIE PRZEZNACZANE</t>
    </r>
    <r>
      <rPr>
        <sz val="9"/>
        <color indexed="8"/>
        <rFont val="Arial Narrow"/>
        <family val="2"/>
        <charset val="238"/>
      </rPr>
      <t xml:space="preserve"> […] w art. 5 ust. 1 pkt 2</t>
    </r>
  </si>
  <si>
    <t>ZMIANA dochodów ze SPRZEDAŻY MAJĄTKU</t>
  </si>
  <si>
    <t xml:space="preserve">ZMIANA innych DOCHODÓW MAJĄTKOWYCH </t>
  </si>
  <si>
    <r>
      <t xml:space="preserve">ZMIANA wydatków BIEŻĄCYCH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</si>
  <si>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Wskaźniki PRZED ZMIANĄ (WPF_Bazowy)</t>
  </si>
  <si>
    <t>D+P=W+R</t>
  </si>
  <si>
    <t xml:space="preserve">ZMIANA kredyty, pożyczki, obligacje </t>
  </si>
  <si>
    <t xml:space="preserve">ZMIANA nadwyżka </t>
  </si>
  <si>
    <t xml:space="preserve">ZMIANA wolne środki </t>
  </si>
  <si>
    <t xml:space="preserve">ZMIANA spłaty pożyczek </t>
  </si>
  <si>
    <t>ZMIANA inne przychody</t>
  </si>
  <si>
    <t xml:space="preserve">ZMIANY spłat rat, wykup obligacji </t>
  </si>
  <si>
    <t>poz. [5.1]</t>
  </si>
  <si>
    <t>poz. [5.1.1.1]</t>
  </si>
  <si>
    <t>poz. [5.1.1.2]</t>
  </si>
  <si>
    <t>poz. [5.1.1.3]</t>
  </si>
  <si>
    <t>ZMIANY SPŁAT RAT - WYŁĄCZENIA art. 243 ufp ust.3b</t>
  </si>
  <si>
    <t>ZMIANY SPŁAT RAT - WYŁĄCZENIA art. 243 ufp ust.3</t>
  </si>
  <si>
    <t>ZMIANY SPŁAT RAT - WYŁĄCZENIA art. 243 ufp ust.3a</t>
  </si>
  <si>
    <t>ZMIANY inne rozchody</t>
  </si>
  <si>
    <t>poz. [5.2]</t>
  </si>
  <si>
    <t>ZMIANA wydatków na obsługę długu</t>
  </si>
  <si>
    <t>poz. [2.1.3.1]</t>
  </si>
  <si>
    <t>poz. [2.1.3.2]</t>
  </si>
  <si>
    <t>ZMIANA wydatków na poręczenia</t>
  </si>
  <si>
    <t>poz. [2.1.2.1]</t>
  </si>
  <si>
    <t xml:space="preserve">KWOTA WYŁĄCZENIA z art. 243 ufp </t>
  </si>
  <si>
    <t>DŁUG SPŁACANY WYDATKAMI</t>
  </si>
  <si>
    <r>
      <rPr>
        <b/>
        <sz val="9"/>
        <color indexed="8"/>
        <rFont val="Arial Narrow"/>
        <family val="2"/>
        <charset val="238"/>
      </rPr>
      <t>Wzrost(+)/Spadek(-)</t>
    </r>
    <r>
      <rPr>
        <sz val="9"/>
        <color indexed="8"/>
        <rFont val="Arial Narrow"/>
        <family val="2"/>
        <charset val="238"/>
      </rPr>
      <t xml:space="preserve"> wydatków majątkowych na spłatę długu zaciągniętego po 1.01.2019 r. </t>
    </r>
  </si>
  <si>
    <r>
      <rPr>
        <b/>
        <sz val="9"/>
        <color indexed="8"/>
        <rFont val="Arial Narrow"/>
        <family val="2"/>
        <charset val="238"/>
      </rPr>
      <t>Wzrost(+)/Spadek(-)</t>
    </r>
    <r>
      <rPr>
        <sz val="9"/>
        <color indexed="8"/>
        <rFont val="Arial Narrow"/>
        <family val="2"/>
        <charset val="238"/>
      </rPr>
      <t xml:space="preserve"> wydatków bieżących na spłatę długu zaciągniętego po 1.01.2019 r. </t>
    </r>
  </si>
  <si>
    <t>Zmiana kwoty długu spłacanego wydatkami (np. zaciągnięcie długu)</t>
  </si>
  <si>
    <t>poz. [6.1] i [6]</t>
  </si>
  <si>
    <t>8.2_2020</t>
  </si>
  <si>
    <t>8.2_2026</t>
  </si>
  <si>
    <t>[10.7.2.1] i nadrzędne</t>
  </si>
  <si>
    <t>[10.7.2.1.1] i nadrzędne</t>
  </si>
  <si>
    <t>Data</t>
  </si>
  <si>
    <t>Wersja</t>
  </si>
  <si>
    <t>Opis zmian</t>
  </si>
  <si>
    <t>2019-12-10a</t>
  </si>
  <si>
    <r>
      <t xml:space="preserve">W arkuszach </t>
    </r>
    <r>
      <rPr>
        <b/>
        <sz val="11"/>
        <color indexed="8"/>
        <rFont val="Arial Narrow"/>
        <family val="2"/>
        <charset val="238"/>
      </rPr>
      <t>_bazowy</t>
    </r>
    <r>
      <rPr>
        <sz val="11"/>
        <color indexed="8"/>
        <rFont val="Arial Narrow"/>
        <family val="2"/>
        <charset val="238"/>
      </rPr>
      <t xml:space="preserve"> oraz </t>
    </r>
    <r>
      <rPr>
        <b/>
        <sz val="11"/>
        <color indexed="8"/>
        <rFont val="Arial Narrow"/>
        <family val="2"/>
        <charset val="238"/>
      </rPr>
      <t>_analiza</t>
    </r>
    <r>
      <rPr>
        <sz val="11"/>
        <color indexed="8"/>
        <rFont val="Arial Narrow"/>
        <family val="2"/>
        <charset val="238"/>
      </rPr>
      <t xml:space="preserve"> wprowadzono identyczne formuły analityczne i weryfikacyjne jak w raporcie "Analiza WPF …"</t>
    </r>
  </si>
  <si>
    <t>Zmiana kwoty długu [6n] - [6n-1]</t>
  </si>
  <si>
    <t>Zmiana kwoty długu spłacanego wydatkami [6.1 n] - [6.1 n-1]</t>
  </si>
  <si>
    <t>Wsk</t>
  </si>
  <si>
    <r>
      <rPr>
        <b/>
        <u/>
        <sz val="9"/>
        <rFont val="Arial Narrow"/>
        <family val="2"/>
        <charset val="238"/>
      </rPr>
      <t xml:space="preserve">Analiza sumy wydatków na spłatę długu </t>
    </r>
    <r>
      <rPr>
        <sz val="9"/>
        <rFont val="Arial Narrow"/>
        <family val="2"/>
        <charset val="238"/>
      </rPr>
      <t xml:space="preserve"> [10.7] = [10.7.1] + [10.7.2] + [10.7.3] 
   - </t>
    </r>
    <r>
      <rPr>
        <b/>
        <sz val="9"/>
        <rFont val="Arial Narrow"/>
        <family val="2"/>
        <charset val="238"/>
      </rPr>
      <t xml:space="preserve">wartości większe od zera wymagają wyjaśnienia </t>
    </r>
    <r>
      <rPr>
        <sz val="9"/>
        <rFont val="Arial Narrow"/>
        <family val="2"/>
        <charset val="238"/>
      </rPr>
      <t xml:space="preserve">
   </t>
    </r>
    <r>
      <rPr>
        <b/>
        <sz val="9"/>
        <rFont val="Arial Narrow"/>
        <family val="2"/>
        <charset val="238"/>
      </rPr>
      <t xml:space="preserve">- wartości mniejsze od zera </t>
    </r>
    <r>
      <rPr>
        <b/>
        <u/>
        <sz val="9"/>
        <rFont val="Arial Narrow"/>
        <family val="2"/>
        <charset val="238"/>
      </rPr>
      <t>nie mogą wystąpić</t>
    </r>
    <r>
      <rPr>
        <b/>
        <sz val="9"/>
        <rFont val="Arial Narrow"/>
        <family val="2"/>
        <charset val="238"/>
      </rPr>
      <t xml:space="preserve"> </t>
    </r>
    <r>
      <rPr>
        <b/>
        <sz val="9"/>
        <color indexed="10"/>
        <rFont val="Arial Narrow"/>
        <family val="2"/>
        <charset val="238"/>
      </rPr>
      <t>(błąd logiczny)</t>
    </r>
  </si>
  <si>
    <r>
      <t xml:space="preserve">Kontrola rozdysponowania nadwyżki budżetowej 
</t>
    </r>
    <r>
      <rPr>
        <b/>
        <sz val="9"/>
        <rFont val="Arial Narrow"/>
        <family val="2"/>
        <charset val="238"/>
      </rPr>
      <t xml:space="preserve"> - jeśli [3] &gt; 0 to wylicz [3] - [3.1] 
      </t>
    </r>
    <r>
      <rPr>
        <sz val="9"/>
        <rFont val="Arial Narrow"/>
        <family val="2"/>
        <charset val="238"/>
      </rPr>
      <t xml:space="preserve">a) [3.1] </t>
    </r>
    <r>
      <rPr>
        <b/>
        <u/>
        <sz val="9"/>
        <color indexed="10"/>
        <rFont val="Arial Narrow"/>
        <family val="2"/>
        <charset val="238"/>
      </rPr>
      <t>nie może być większe niż</t>
    </r>
    <r>
      <rPr>
        <sz val="9"/>
        <color indexed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[3]  b) jeśli [3] - [3.1] &gt; 0 to różnica musi być w objaśnieniach
</t>
    </r>
    <r>
      <rPr>
        <b/>
        <sz val="9"/>
        <rFont val="Arial Narrow"/>
        <family val="2"/>
        <charset val="238"/>
      </rPr>
      <t>- jeśli [3] &lt;0 to [3.1] musi być równe 0</t>
    </r>
  </si>
  <si>
    <t>Reguła logiczna:  [1.2] &gt;= ([1.2.1]+[1.2.2])</t>
  </si>
  <si>
    <t>Reguła informacyjna</t>
  </si>
  <si>
    <r>
      <t xml:space="preserve">Reguła informacyjna:  [5.1] &lt;&gt; [10.6] (prognoza spłat rat &lt;&gt; harmonogramu umów? ( </t>
    </r>
    <r>
      <rPr>
        <b/>
        <sz val="9"/>
        <rFont val="Arial Narrow"/>
        <family val="2"/>
        <charset val="238"/>
      </rPr>
      <t>[5.1] - [10.6]</t>
    </r>
    <r>
      <rPr>
        <sz val="9"/>
        <rFont val="Arial Narrow"/>
        <family val="2"/>
        <charset val="238"/>
      </rPr>
      <t xml:space="preserve"> )</t>
    </r>
  </si>
  <si>
    <t>poz. [1.2.1] oraz [1.2]</t>
  </si>
  <si>
    <t>poz. [2.1.3] oraz [2.1]</t>
  </si>
  <si>
    <t>poz. [2.1.2] oraz [2.1]</t>
  </si>
  <si>
    <t>III kw. (plan)</t>
  </si>
  <si>
    <t>IV kw (wyk.)</t>
  </si>
  <si>
    <t>WPF_BAZOWY</t>
  </si>
  <si>
    <t>Wskaźnik jednoroczny do średniej 3-letniej</t>
  </si>
  <si>
    <t xml:space="preserve">Wskaźnik jednoroczny do średniej 7-letniej </t>
  </si>
  <si>
    <t>Relacja określona po prawej stronie nierówności we wzorze, o którym mowa w art. 243 ust. 1 ustawy, ustalona dla danego roku (wskaźnik jednoroczny)</t>
  </si>
  <si>
    <t>Różnica między dochodami bieżącymi, skorygowanymi o środki a wydatkami bieżącymi</t>
  </si>
  <si>
    <t>Relacja określona po lewej stronie nierówności we wzorze, o którym mowa w art. 243 ust. 1 ustawy …</t>
  </si>
  <si>
    <t>Dopuszczalny limit spłaty zobowiązań określony po prawej stronie nierówności … (plan III kw)</t>
  </si>
  <si>
    <t>Dopuszczalny limit spłaty zobowiązań określony po prawej stronie nierówności … (wykonanie)</t>
  </si>
  <si>
    <t>Informacja o spełnieniu wskaźnika spłaty zobowiązań określonego w art. 243 ustawy, … (plan III kw)</t>
  </si>
  <si>
    <t>Informacja o spełnieniu wskaźnika spłaty zobowiązań określonego w art. 243 ustawy, … (wykonanie)</t>
  </si>
  <si>
    <t>Obszar notatek</t>
  </si>
  <si>
    <t>Wszystkie komórki tabeli WPF są powiązane formułami z innymi arkuszami (nie należy więc ich modyfikować)</t>
  </si>
  <si>
    <t xml:space="preserve">Komórki oznaczone tym tłem dotyczą danych pobranych z WPF na koniec roku N-1 </t>
  </si>
  <si>
    <t>2019-12-30a</t>
  </si>
  <si>
    <t>Dodano arkusz "Instrukcja"</t>
  </si>
  <si>
    <r>
      <t xml:space="preserve">korekta (R+O)/D o zobowiązania związków JST: </t>
    </r>
    <r>
      <rPr>
        <b/>
        <sz val="9"/>
        <color indexed="8"/>
        <rFont val="Arial Narrow"/>
        <family val="2"/>
        <charset val="238"/>
      </rPr>
      <t>-[10.4 / (1.1-1.1.4-11.1.1)]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</si>
  <si>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</si>
  <si>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[8.3.1] - [8.1]  </t>
    </r>
  </si>
  <si>
    <t>2020-02-18a</t>
  </si>
  <si>
    <r>
      <rPr>
        <b/>
        <u/>
        <sz val="9"/>
        <rFont val="Arial Narrow"/>
        <family val="2"/>
        <charset val="238"/>
      </rPr>
      <t>Analiza zmiany kwoty długu spłacanego wydatkami budżetu</t>
    </r>
    <r>
      <rPr>
        <sz val="9"/>
        <rFont val="Arial Narrow"/>
        <family val="2"/>
        <charset val="238"/>
      </rPr>
      <t xml:space="preserve"> wg reguły </t>
    </r>
    <r>
      <rPr>
        <b/>
        <sz val="9"/>
        <rFont val="Arial Narrow"/>
        <family val="2"/>
        <charset val="238"/>
      </rPr>
      <t xml:space="preserve">6.1 n = 6.1 n-1 - 10.7n 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 xml:space="preserve">- wartości różne od zera wymagają objaśnienia </t>
    </r>
    <r>
      <rPr>
        <sz val="9"/>
        <rFont val="Arial Narrow"/>
        <family val="2"/>
        <charset val="238"/>
      </rPr>
      <t xml:space="preserve">
   - wartości większe od zera wskazują na powstanie w roku prognozy nowego długu tego typu
   - wartości mniejsze od zera co do zasady nie powinny wystąpić</t>
    </r>
  </si>
  <si>
    <t xml:space="preserve"> - Spłata długu (wydatki bieżące [10.7.2.1.1])</t>
  </si>
  <si>
    <t>2020-05-20a</t>
  </si>
  <si>
    <t>Poprawiono obszar "Wybrane relacje i wskaźniki ekonomiczne" - relacja D+P=W+R (dodając w formułach nie ujętą odpowiednio poz. 10.7.2.1.1)</t>
  </si>
  <si>
    <t>E2333918-AEDC-41E2-92D9-42FD8D446858</t>
  </si>
  <si>
    <t>61187675-DC89-4B08-9577-422B8F598D98</t>
  </si>
  <si>
    <t>DU 2019.1903</t>
  </si>
  <si>
    <t>poz. 8.2 bez uwzględnienia art. 31zl</t>
  </si>
  <si>
    <t>Wskaźnik spłaty zobowiązań z uwzględnieniem art. 31zl (Dz.U. 2020 poz. 568) wyliczony dla WPF złożonych na wzorze Dz.U. 2019, poz. 1903 przed aktualizacją formuł</t>
  </si>
  <si>
    <t xml:space="preserve">Dostosowano raport do nowego wzoru WPF (Dz.U. 2019, poz. 1903/Dz.U. 2020, poz. 568) </t>
  </si>
  <si>
    <t>NIE ANALIZOWAĆ PONIŻSZEJ TABELI (dane na "WPF_Bazowy" mają wyliczone wskaźniki z art. 31zl)</t>
  </si>
  <si>
    <t>- Wydatki majątkowe (pomniejszone o wydatki majątkowe na spłatę długu)</t>
  </si>
  <si>
    <t>ZMIANY SPŁAT RAT - WYŁĄCZENIA art. 243 pozostałe</t>
  </si>
  <si>
    <t>poz.  [10.11] oraz poz. [2.1]</t>
  </si>
  <si>
    <t>Odsetki i dyskonto - KWOTA WYŁĄCZENIA z art. 243 ufp (poz. 2.1.3.2) - (wkład krajowy)</t>
  </si>
  <si>
    <t>Odsetki i dyskonto - KWOTA WYŁĄCZENIA z art. 243 ufp (poz. 2.1.3.3) - (pozostałe)</t>
  </si>
  <si>
    <t>Odsetki i dyskonto - KWOTA WYŁĄCZENIA z art. 243 ufp (poz. 2.1.3.1) - (bez wkładu krajowego)</t>
  </si>
  <si>
    <t>Zbilansowanie budżetu (D+P-W-R) [1.] + [4.] - [2.] + [5.]</t>
  </si>
  <si>
    <t>Różnica między dochodami bieżącymi a wydatkami bieżącymi ([7.1])</t>
  </si>
  <si>
    <t>Różnica między dochodami bieżącymi, skorygowanymi o środki a wydatkami bieżącymi [7.2]</t>
  </si>
  <si>
    <t>A7F0A429-BA06-407F-B3B0-20A4503092D3</t>
  </si>
  <si>
    <t>wskaźniki z uwzględnieniem art. 15zoa-zoc (COVID-19)</t>
  </si>
  <si>
    <t>NIE ANALIZOWAĆ PONIŻSZEJ TABELI (dane na "WPF_Bazowy" mają wyliczone wskaźniki z art. 15zoa-zoc)</t>
  </si>
  <si>
    <t>2.1.3.3</t>
  </si>
  <si>
    <t>5.1.1.4</t>
  </si>
  <si>
    <t>art15zoc_ZD</t>
  </si>
  <si>
    <t>art15zoc_8.1_ROD</t>
  </si>
  <si>
    <t>art15zoc_8.4</t>
  </si>
  <si>
    <t>art15zoc_8.4.1</t>
  </si>
  <si>
    <t>10.10</t>
  </si>
  <si>
    <t>10.11</t>
  </si>
  <si>
    <t>1. Analiza ryzyka niespełnienia wskaźnika z art. 243</t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</si>
  <si>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</si>
  <si>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[8.3.1] - [8.1]  </t>
    </r>
  </si>
  <si>
    <r>
      <t xml:space="preserve">korekta (R+O)/D o wyłączenia (UE/COVID)
:  </t>
    </r>
    <r>
      <rPr>
        <b/>
        <sz val="9"/>
        <rFont val="Arial Narrow"/>
        <family val="2"/>
        <charset val="238"/>
      </rPr>
      <t>+[(5.1.1.1+5.1.1.2.+5.1.1.4+2.1.2.1+(2.1.3.1+2.1.3.2 + 2.1.3.3) / (1.1-1.1.4-11.1.1)]</t>
    </r>
  </si>
  <si>
    <t>2. Weryfikacja danych wykazanych w tabeli Wieloletnia Prognoza Finansowa</t>
  </si>
  <si>
    <r>
      <t>Kontrola poprawności wyliczenia kwoty długu (</t>
    </r>
    <r>
      <rPr>
        <b/>
        <sz val="9"/>
        <rFont val="Arial Narrow"/>
        <family val="2"/>
        <charset val="238"/>
      </rPr>
      <t>poz. 6</t>
    </r>
    <r>
      <rPr>
        <sz val="9"/>
        <rFont val="Arial Narrow"/>
        <family val="2"/>
        <charset val="238"/>
      </rPr>
      <t xml:space="preserve">) </t>
    </r>
  </si>
  <si>
    <t>Reguła logiczna:  [2.1.3] &gt;= [2.1.3.1] + [2.1.3.2] + [2.1.3.3]</t>
  </si>
  <si>
    <t>Reguła logiczna:  [5.1.1]  = ([5.1.1.1] + [5.1.1.2] + [5.1.1.3] + [5.1.1.4]) (tylko dla najnowszego wzoru)</t>
  </si>
  <si>
    <t>[10.1] = [10.1.1] + [10.1.2]</t>
  </si>
  <si>
    <t>Reguła logiczna:  [10.1] = [10.1.1] + [10.1.2]</t>
  </si>
  <si>
    <t>Reguła logiczna:  [10.10] = [5.1.1.4] +[ 2.1.3.3]  (tylko dla WPF bez obligacji przychodowych)</t>
  </si>
  <si>
    <t>3. Analiza WPF wg przepływu środków pieniężnych</t>
  </si>
  <si>
    <t>4. Wybrane relacje i wskaźniki ekonomiczne</t>
  </si>
  <si>
    <t xml:space="preserve">Równowagi budżetów </t>
  </si>
  <si>
    <t>Wynik budżetu (D - W): [1] - [2]</t>
  </si>
  <si>
    <t>Przychody - Rozchody (P - R): [4] - [5]</t>
  </si>
  <si>
    <t>Równowaga budżetu (D+P) - (W+R): [1] + [4] - [2] - [5]</t>
  </si>
  <si>
    <t>Równowaga budżetu bieżącego (Db - Wb): [1.1] - [2.1]</t>
  </si>
  <si>
    <t>Wynik operacyjny po spłacie rat kapitału: [1.1] - [2.1] - [5.1] 
(bez wydatków zmniejszających dług)</t>
  </si>
  <si>
    <t>Wynik na zadaniach bieżących finansowanych z udzałem środków zagranicznych: [9.1.1] - [9.3.1]</t>
  </si>
  <si>
    <t>Wynik na zadaniach majątkowych finansowanych z udziałem środków zagranicznych: [9.2.1] - [9.4.1]</t>
  </si>
  <si>
    <t xml:space="preserve">Struktura budżetów </t>
  </si>
  <si>
    <t>Udział dochodów bieżących w dochodach ogółem [1.1] / [1]</t>
  </si>
  <si>
    <t>Udział udziałów w PIT/CIT w dochodach bieżących ([1.1.1]+[1.1.2]) / [1.1]</t>
  </si>
  <si>
    <r>
      <t xml:space="preserve">Udział </t>
    </r>
    <r>
      <rPr>
        <b/>
        <i/>
        <sz val="9"/>
        <color indexed="8"/>
        <rFont val="Czcionka tekstu podstawowego"/>
        <charset val="238"/>
      </rPr>
      <t>transferów bieżących do budżetu</t>
    </r>
    <r>
      <rPr>
        <i/>
        <sz val="9"/>
        <color indexed="8"/>
        <rFont val="Czcionka tekstu podstawowego"/>
        <charset val="238"/>
      </rPr>
      <t xml:space="preserve"> w dochodach bieżących 
([1.1.1]+[1.1.2] + [1.1.3] + [1.1.4]) / [1.1]</t>
    </r>
  </si>
  <si>
    <t>Udział dochodów majątkowych w dochodach ogółem [1.2] / [1]</t>
  </si>
  <si>
    <t>Udział wydatków bieżących w wydatkach ogółem [2.1] / [2]</t>
  </si>
  <si>
    <t>Udział wydatków majątkowych w wydatkach ogółem [2.2] / [2]</t>
  </si>
  <si>
    <t>Udział wydatków na wynagrodzenia w wydatkach bieżących [2.1.1] / [2.1]</t>
  </si>
  <si>
    <t>Udział wydatków na obsługę długu w wydatkach bieżących [2.1.3] / [2.1]</t>
  </si>
  <si>
    <t>Pozostałe informacje</t>
  </si>
  <si>
    <t>Wskażniki</t>
  </si>
  <si>
    <t>Relacja wydatków na obsługę długu do kwoty długu [2.1.3] / [6]</t>
  </si>
  <si>
    <t>Relacja wyniku operacyjnego do dochodów ogółem [7.1] / [1]</t>
  </si>
  <si>
    <t>Relacja wyniku operacyjnego do dochodów bieżących [7.1] / [1.1]</t>
  </si>
  <si>
    <t>Wskaźnik rotacji zobowiązań (w latach)
liczony jako relacja kwoty długu na koniec danego roku do nadwyżki operacyjnej danego roku [6] / [7.1]</t>
  </si>
  <si>
    <t>5. Analiza prognoz w kwotach skumulowanych (od roku N)</t>
  </si>
  <si>
    <t>Skumulowane dochody bieżące (1.1)</t>
  </si>
  <si>
    <t xml:space="preserve">Skumulowane wydatki bieżące (w tym odsetki, poręczenia i gwarancje) (2.1) </t>
  </si>
  <si>
    <t>Skumulowany wynik operacyjny (7.1)</t>
  </si>
  <si>
    <t>Skumulowane spłaty R (5.1)</t>
  </si>
  <si>
    <t>Skumulowana spłata długu wydatkami R (10.7.2)</t>
  </si>
  <si>
    <t>Skumulowany wynik operacyjny (7.1) minus skumulowane R</t>
  </si>
  <si>
    <t>Skumulowana sprzedaż majątku (1.2.1)</t>
  </si>
  <si>
    <t>Skumulowane dotacje i środki na cele majątkowe (1.2.2)</t>
  </si>
  <si>
    <t>Skumulowane wydatki majątkowe (2.2)</t>
  </si>
  <si>
    <t>Skumulowany wynik majątkowy (1.2. - 2.2.)</t>
  </si>
  <si>
    <t>6. Analiza dynamiki wybranych pozycji WPF (w %)</t>
  </si>
  <si>
    <t>(kolor tła dla wartości procentowych wykraczających poza przedział -x% do x%)
można samodzielnie zmieniać wartości graniczne</t>
  </si>
  <si>
    <t>udziały w PIT</t>
  </si>
  <si>
    <t>udziały w CIT</t>
  </si>
  <si>
    <t>subwencja ogólna</t>
  </si>
  <si>
    <t>dotacje i środki na cele bieżące</t>
  </si>
  <si>
    <t>podatek od nieruchomości</t>
  </si>
  <si>
    <t xml:space="preserve">pozostałe odsetki i dyskonto podlegające wyłączeniu z limitu spłaty zobowiązań, o którym mowa w art. 243 ustawy </t>
  </si>
  <si>
    <t>kwota przypadających na dany rok kwot pozostałych ustawowych wyłączeń z limitu spłaty zobowiązań</t>
  </si>
  <si>
    <t>relacja kwoty długu do dochodów ogółem</t>
  </si>
  <si>
    <t xml:space="preserve">Relacja kwoty długu do dochodów ogółem 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</si>
  <si>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</si>
  <si>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</si>
  <si>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</si>
  <si>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</si>
  <si>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Wydatki bieżące podlegające ustawowemu wyłączeniu z limitu spłaty zobowiązań</t>
  </si>
  <si>
    <t>Relacja określona po lewej stronie nierówności we wzorze, o którym mowa w art. 243 ust. 1 ustawy (po uwzględnieniu zobowiązań związku współtworzonego przez jednostkę samorządu terytorialnego oraz po uwzględnieniu ustawowych wyłączeń bez art. 15zob ust. 1 przypadających na dany rok)</t>
  </si>
  <si>
    <t>Informacja o spełnieniu wskaźnika spłaty zobowiązań określonego w art. 243 ustawy, po uwzględnieniu zobowiązań związku współtworzonego przez jednostkę samorządu terytorialnego oraz po uwzględnieniu ustawowych wyłączeń bez art. 15zob ust. 1,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</si>
  <si>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 bez art. 15zob ust. 1, obliczonego w oparciu o wykonanie roku poprzedzającego rok budżetowy</t>
  </si>
  <si>
    <t>[(5.1-5.1.1+(10.7.2.1-10.9)+(2.1.2-2.1.2.1)+(2.1.3-(2.1.3.1+2.1.3.2 + 2.1.3.3.)+10.4)]/(1.1-1.1.4-11.1.1)</t>
  </si>
  <si>
    <t>do 2024 r. włącznie([1.1-9.1.1-11.1.1]-[2.1-9.3.1-10.7.2.1.1-11.2]+1.2.1)/[1.1- 1.1.4-11.1.1]
do 2024 r. włącznie (art.. 31zl)   ([1.1-9.1.1-11.1.1]-[2.1-9.3.1-10.7.2.1.1-2.1.3]+1.2.1)/[1.1- 1.1.4-11.1.1]
do 2024 r. włącznie (art.15zob) ([1.1-9.1.1-11.1.1]-[2.1-9.3.1-10.7.2.1.1-2.1.3 - 10.11]+1.2.1)/[1.1- 1.1.4-11.1.1]</t>
  </si>
  <si>
    <t>art. 15zob ust. 1 ([1.1-9.1.1-11.1.1]-[2.1-9.3.1-10.7.2.1.1-2.1.3  - 10.11])/[1.1-1.1.4-11.1.1]</t>
  </si>
  <si>
    <t>[(5.1-5.1.1+(10.7.2.1-10.9)+(2.1.2-2.1.2.1)+(2.1.3-(2.1.3.1+2.1.3.2 + 2.1.3.3.)+10.4+10.10)]/(1.1-1.1.4-11.1.1)</t>
  </si>
  <si>
    <t>Model analizy opracowany przez: Zespół ds. IT przy KR RIO przy współpracy z ZMP</t>
  </si>
  <si>
    <t xml:space="preserve">UWAGA:  Do szacowania i analiz służą arkusze "Symulacja" i "WPF_Analiza" </t>
  </si>
  <si>
    <t>rozchody [5.1]</t>
  </si>
  <si>
    <t>przychody [4.1]</t>
  </si>
  <si>
    <t>Weryfikacja sumy spłat [5.1] z sumą nowych zobowiązań [4.1]</t>
  </si>
  <si>
    <t>[4.1] - [5.1]</t>
  </si>
  <si>
    <t>2020-08-14a</t>
  </si>
  <si>
    <t>DU 2020.1381</t>
  </si>
  <si>
    <t>Rozbudowano obszar "Wybrane relacje i wskaźniki ekonomiczne"</t>
  </si>
  <si>
    <t>Dostosowano raport do nowego wzoru WPF (Dz.U. 2020, poz. 1381), przy czym "WPF_Analiza" działa w oparciu o najnowsze formuły i regulacje</t>
  </si>
  <si>
    <r>
      <t xml:space="preserve">Reguła logiczna:  [5.1.1]  &lt;&gt; ([5.1.1.1] + [5.1.1.2] + [5.1.1.3]) 
</t>
    </r>
    <r>
      <rPr>
        <b/>
        <sz val="9"/>
        <rFont val="Arial Narrow"/>
        <family val="2"/>
        <charset val="238"/>
      </rPr>
      <t xml:space="preserve">wartości różne od zera wymagają wyjaśnienia 
</t>
    </r>
    <r>
      <rPr>
        <sz val="9"/>
        <rFont val="Arial Narrow"/>
        <family val="2"/>
        <charset val="238"/>
      </rPr>
      <t xml:space="preserve">- jeśłi większe niż zero to są </t>
    </r>
    <r>
      <rPr>
        <b/>
        <sz val="9"/>
        <rFont val="Arial Narrow"/>
        <family val="2"/>
        <charset val="238"/>
      </rPr>
      <t>inne wyłączenia np.. zawarte w poz. 5.1.1.4 wzoru z Dz.U. 2020.1381</t>
    </r>
    <r>
      <rPr>
        <sz val="9"/>
        <rFont val="Arial Narrow"/>
        <family val="2"/>
        <charset val="238"/>
      </rPr>
      <t xml:space="preserve">
-  jeśli mniejsze niż zero to BŁĄD</t>
    </r>
  </si>
  <si>
    <t>wyłącznie [1.1.4] i [9.1.1], oraz  [1.1] i [9.1]</t>
  </si>
  <si>
    <t>poz.  [9.3.1], [9.3] oraz poz. [2.1]</t>
  </si>
  <si>
    <t>Spełnienie wskaźnika z art. 242
 - jeśli wystąpi "NIE" wówczas sprawdź dodatkowo wyłączenia w zw. z COVD-19  (art. 15zoa )</t>
  </si>
  <si>
    <t>2020-09-01a</t>
  </si>
  <si>
    <t>poprawiono wyliczanie wskaźników: Maksymalna kwota dodatkowych spłat nie naruszająca (R+O)/Db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</si>
  <si>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inwestycyjne PRZEZNACZANE […]</t>
    </r>
    <r>
      <rPr>
        <sz val="9"/>
        <color indexed="8"/>
        <rFont val="Arial Narrow"/>
        <family val="2"/>
        <charset val="238"/>
      </rPr>
      <t xml:space="preserve"> art. 5 ust. 1 pkt 2</t>
    </r>
  </si>
  <si>
    <r>
      <t xml:space="preserve">ZMIANA wydatków MAJĄTKOWYCH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</si>
  <si>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poz. [1.2.2], [1.2]  oraz [9.2] i [9.2.1]</t>
  </si>
  <si>
    <t>poz. [2.2], poz. [2.2.1] oraz poz. [9.4] i [9.4.1]</t>
  </si>
  <si>
    <t>poz. [2.2], poz. [2.2.1] (bez wpływu na poz. [9.4])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</si>
  <si>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inwestycyjne NIE PRZEZNACZANE […]</t>
    </r>
    <r>
      <rPr>
        <sz val="9"/>
        <color indexed="8"/>
        <rFont val="Arial Narrow"/>
        <family val="2"/>
        <charset val="238"/>
      </rPr>
      <t xml:space="preserve"> art. 5 ust. 1 pkt 2</t>
    </r>
  </si>
  <si>
    <r>
      <t xml:space="preserve">ZMIANA dotacji i środków </t>
    </r>
    <r>
      <rPr>
        <sz val="9"/>
        <color indexed="8"/>
        <rFont val="Arial Narrow"/>
        <family val="2"/>
        <charset val="238"/>
      </rPr>
      <t xml:space="preserve">na </t>
    </r>
    <r>
      <rPr>
        <b/>
        <u/>
        <sz val="9"/>
        <color indexed="8"/>
        <rFont val="Arial Narrow"/>
        <family val="2"/>
        <charset val="238"/>
      </rPr>
      <t>cele bieżące</t>
    </r>
    <r>
      <rPr>
        <sz val="9"/>
        <color indexed="8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PRZEZNACZANE</t>
    </r>
    <r>
      <rPr>
        <sz val="9"/>
        <color indexed="8"/>
        <rFont val="Arial Narrow"/>
        <family val="2"/>
        <charset val="238"/>
      </rPr>
      <t xml:space="preserve"> […] art. 5 ust. 1 pkt 2</t>
    </r>
  </si>
  <si>
    <t>poz. [1.2.2] oraz [1.2]  (bez wpływu na poz. [9.2])</t>
  </si>
  <si>
    <r>
      <t xml:space="preserve">ZMIANA wydatków MAJĄTKOWYCH </t>
    </r>
    <r>
      <rPr>
        <b/>
        <u/>
        <sz val="9"/>
        <color indexed="8"/>
        <rFont val="Arial Narrow"/>
        <family val="2"/>
        <charset val="238"/>
      </rPr>
      <t>NIE 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</si>
  <si>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r>
      <t xml:space="preserve">ZMIANA wydatków BIEŻĄCYCH </t>
    </r>
    <r>
      <rPr>
        <b/>
        <u/>
        <sz val="9"/>
        <color indexed="8"/>
        <rFont val="Arial Narrow"/>
        <family val="2"/>
        <charset val="238"/>
      </rPr>
      <t xml:space="preserve">NIE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</si>
  <si>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poz. [5.1.1.4] oraz [10.10]</t>
  </si>
  <si>
    <t>poz. [2.1.3.3] oraz [10.10]</t>
  </si>
  <si>
    <t>IdRozp</t>
  </si>
  <si>
    <t>Zbilansowanie budżetu (D+P-W-R) [1.] + [4.] - [2.] + [5.] (nadwyżka/niedobór środków)</t>
  </si>
  <si>
    <t>Wpływ na pozycje WPF</t>
  </si>
  <si>
    <t>Relacja wydatków na obsługę długu do rozchodów na spłatę długu [2.1.3] / [5.1]</t>
  </si>
  <si>
    <t>Udział dochodów ze sprzedaży mienia w dochodach majątkowych [1.2.1] / [1.2]</t>
  </si>
  <si>
    <t>Model analizy zawarty w tym raporcie został opracowany przez: Zespół ds. IT przy KR RIO przy współpracy ze Związkiem Miast Polskich</t>
  </si>
  <si>
    <t>2020-10-21a</t>
  </si>
  <si>
    <t>Wydatki majątkowe finansowane wyłączenie środkami krajowymi [2.2] - [9.4]</t>
  </si>
  <si>
    <t>2020-09-01b</t>
  </si>
  <si>
    <t>poprawiono opis wskaźników: Maksymalna kwota dodatkowych spłat nie naruszająca (R+O)/Db</t>
  </si>
  <si>
    <t>Dodano w Symulacji wiersze umożliwiające analizę wpływu dochodów i wydatków na projekty z udziałem środków z art.. 5 […] - ocena wpływu na poz. 9.3.1</t>
  </si>
  <si>
    <t>Dane do symulacji zmian WPF</t>
  </si>
  <si>
    <t>WPF z uwzględnieniem zmian z arkusza Symulacja</t>
  </si>
  <si>
    <t>Naprawiono problem z obszarem danych do importu</t>
  </si>
  <si>
    <t>Maksymalna kwota dodatkowych spłat nie naruszająca (R+O)/(Db - 1.1.4)
[8.3] - [8.1] ) * ([1.1] - [1.1.4] - [11.1.1])</t>
  </si>
  <si>
    <t>Maksymalna kwota dodatkowych spłat nie naruszająca (R+O)/(Db - 1.1.4)
[8.3.1] - [8.1] ) * ([1.1] - [1.1.4] - [11.1.1])</t>
  </si>
  <si>
    <t>2021-08-30a</t>
  </si>
  <si>
    <r>
      <t xml:space="preserve">ZMIANA wydatków BIEŻĄCYCH związanych m.in. z COVID-19 wpływająca na poz. 10.11 
</t>
    </r>
    <r>
      <rPr>
        <b/>
        <sz val="9"/>
        <color indexed="8"/>
        <rFont val="Arial Narrow"/>
        <family val="2"/>
        <charset val="238"/>
      </rPr>
      <t>(stosować wyłącznie w latach, w których to wyłączenie jest dopuszczalne)</t>
    </r>
  </si>
  <si>
    <t>Relacja zobowiązań zaliczanych do kwoty długu do dochodów ogółem [6] / [1]</t>
  </si>
  <si>
    <t>Wprowadzony zmiany na WPF_Analiza eliminujące problem z niekompletnymi danymi o wykonaniu z roku N-1 z poz. 1.1.1-1.1.5 
(tj. takimi które nie dają w sumie poz. 1.1)</t>
  </si>
  <si>
    <t>poz. [1.2]  bez wpływu na poz. [1.2.1], [1.2.2] i [9.2]</t>
  </si>
  <si>
    <t>Zmieniono wpływ poz. "ZMIANA innych DOCHODÓW MAJĄTKOWYCH " na WPF_Analiza - obecnie modyfikuje wyłącznie poz. 2.1</t>
  </si>
  <si>
    <t>Wskaźniki PO ZMIANIE (WPF_Analiza)</t>
  </si>
  <si>
    <t>WPF wg [Dz.U. 2020.1381/Dz.U.2021.1927]</t>
  </si>
  <si>
    <t>Ostatni rok analizy</t>
  </si>
  <si>
    <t>Formuła_ver_02</t>
  </si>
  <si>
    <t>Srednia</t>
  </si>
  <si>
    <t>0BF9</t>
  </si>
  <si>
    <t>DU 2020.1381/2021.1927</t>
  </si>
  <si>
    <t>poz. 8.3/8.3.1 wg wybranego typu średniej</t>
  </si>
  <si>
    <t>WYK_N_7</t>
  </si>
  <si>
    <t>WYK_N_6</t>
  </si>
  <si>
    <t>WYK_N_5</t>
  </si>
  <si>
    <t>WYK_N_4</t>
  </si>
  <si>
    <t>WPF_Analiza (z uwzględnieniem danych z arkusza Symulacja)</t>
  </si>
  <si>
    <t>Średnia 7-letnia</t>
  </si>
  <si>
    <t>Średnia 3-letnia</t>
  </si>
  <si>
    <t>Obszar techniczny</t>
  </si>
  <si>
    <t>Wiersze oznaczone tym tłem są powiązane formułami z arkuszami: "Symulacja" i "WPF_bazowy"</t>
  </si>
  <si>
    <t>Dostosowano raport do obsługi wzorca uwzględniającego wybrany przez organ wykonawczy JST wariant średniej (Dz.U. 2021 poz. 1927)</t>
  </si>
  <si>
    <t>2021-11-14a</t>
  </si>
  <si>
    <t>2021-11-22a</t>
  </si>
  <si>
    <t>Połączono funkcjonalności raportów "Analiza WPF" z funkcjami "Symulacja Ogólna"</t>
  </si>
  <si>
    <t>UWAGA! 
Ze względu na konstrukcję raportu tj. zawarte w nim formuły liczące oraz powiązania pomiędzy arkuszami - nie należy łączyć czynności edycyjnych w arkuszu WPF_Analiza (m.in. poprzez wprowadzanie nowych kwot prognoz) z edycją danych w zakładce Symulacja.  
Nadpisanie formuł w arkuszu WPF_Analiza, w komórkach oznaczonych kolorem niebieskim, spowoduje przerwanie powiązań z arkuszem Symulacja, a nadpisanie formuł w komórkach z tłem zielonym spowoduje nieprawidłowe sumowanie kwot.</t>
  </si>
  <si>
    <t xml:space="preserve">W zależności od wybranego sposobu pracy w wygenerowanym raporcie (modelu analizy) dane należy wprowadzać:
   ALBO do obszaru "Dane do symulacji" znajdującego się w arkuszu "Symulacja" 
   ALBO w komórki arkusza WPF_Analiza oznaczone niebieskim tłem. 
Edycja innych obszarów może doprowadzić do skasowania albo nieprawidłowej zmiany formuł i w konsekwencji do uzyskania nieprawidłowych wyników. </t>
  </si>
  <si>
    <t xml:space="preserve">Sprawdzone i zweryfikowane dane znajdujące się w arkuszu "WPF_Analiza" można wczytać do Systemu BeSTi@ funkcją "Importuj dane", znajdującą się w menu Plik, z poziomu załącznika WPF w BeSTii.
</t>
  </si>
  <si>
    <t xml:space="preserve">Użytkownicy raportu posiadający odpowiednią wiedzę umożliwiającą samodzielne budowanie formuł obliczeniowych w arkuszu kalkulacyjnym mogą wykorzystywać również "Obszar notatek" (np. do sporządzenia wykazu zjawisk ujętych w symulacji wraz z ich skutkamii finansowymi) - co może być szczególnie przydatne przy symulacji restrukturyzacji spłat długu wymagającej w kroku 1 wyeliminowania z analizowanego WPF restrukturyzowanego zobowiązania (odrębnie rat i odrębnie wydatków na obsługę długu) oraz w kroku 2 wprowadzeniem nowego zrestrukturyzowanego zobowiązania.
</t>
  </si>
  <si>
    <t xml:space="preserve">Poniżej obszaru "Dane do symulacji" znajduje się zestawienie podstawowych wskaźników i relacji przed oraz z uwzględnieniem wprowadzonych zmian.
</t>
  </si>
  <si>
    <t xml:space="preserve">Na wszystkich arkuszach modelu użyto konspektów (symbole konspektu dotyczącego wierszy znajdują się po lewej stronie arkusza, zaś symbole konspektu dotyczące kolumn znajdują sie nad arkuszem danych). 
Pozwala to dostosować w zależności od potrzeb ilość widocznych na ekranie danych (im wyższy symbol konspektu tym więcej szczegółów). 
</t>
  </si>
  <si>
    <r>
      <t>Na aruszach "</t>
    </r>
    <r>
      <rPr>
        <b/>
        <sz val="11"/>
        <color indexed="8"/>
        <rFont val="Arial Narrow"/>
        <family val="2"/>
        <charset val="238"/>
      </rPr>
      <t>WPF_bazowy</t>
    </r>
    <r>
      <rPr>
        <sz val="11"/>
        <color indexed="8"/>
        <rFont val="Arial Narrow"/>
        <family val="2"/>
        <charset val="238"/>
      </rPr>
      <t>" oraz "</t>
    </r>
    <r>
      <rPr>
        <b/>
        <sz val="11"/>
        <color indexed="8"/>
        <rFont val="Arial Narrow"/>
        <family val="2"/>
        <charset val="238"/>
      </rPr>
      <t>WPF_Analiza</t>
    </r>
    <r>
      <rPr>
        <sz val="11"/>
        <color indexed="8"/>
        <rFont val="Arial Narrow"/>
        <family val="2"/>
        <charset val="238"/>
      </rPr>
      <t xml:space="preserve">" pod obszarem zawierającym wieloletnią prognozę finansową zawarto obszary:
</t>
    </r>
    <r>
      <rPr>
        <b/>
        <sz val="11"/>
        <color indexed="8"/>
        <rFont val="Arial Narrow"/>
        <family val="2"/>
        <charset val="238"/>
      </rPr>
      <t xml:space="preserve"> - Analiza WPF wg przepływu środków pieniężnych
 - Wybrane relacje i wskaźniki ekonomiczne
 - Analiza ryzyka niespełnienia wskaźnika z art. 243
 - Weryfikacja danych wykazanych w tabeli Wieloletnia Prognoza Finansowa. 
</t>
    </r>
    <r>
      <rPr>
        <sz val="11"/>
        <color indexed="8"/>
        <rFont val="Arial Narrow"/>
        <family val="2"/>
        <charset val="238"/>
      </rPr>
      <t xml:space="preserve">W trakcie analizy (przeprowadzania symulacji) należy zwrócić szczególną uwagę na informacje zawarte w obszarze "Weryfikacja danych ... ", gdyż prezentowane są w nim wszelkie ewentualne błędy rachunkowe i logiczne niespójności (np. niezrównoważenie budżetu, nieprawidłowo rozpisana spłata kwoty długu, itp.)
</t>
    </r>
  </si>
  <si>
    <t xml:space="preserve">Model analityczny zawiera również (na zakładce "rysunki") prezentację graficzną 
wybranego WPF (pobranego z BeSTii do zakładki WPF_Bazowy) oraz WPF z uwzględnieniem zmian (WPF_Analiza)
</t>
  </si>
  <si>
    <t>Nie edytować!</t>
  </si>
  <si>
    <t>Do zmiany kwot służą arkusze Analiza_WPF i Symulacja</t>
  </si>
  <si>
    <t>Przed użyciem przeczytaj Instrukcję (arkusz "Instrukcja")</t>
  </si>
  <si>
    <t xml:space="preserve">Raport pobiera dane z załącznika WPF do zakładki "WPF_bazowy" z wybranego w systemie BeSTi@ dokumentu w sprawie wieloletniej prognozy finansowej sporządzonego w oparciu o wzorzec zawarty w Dz.U. 2020 poz. 1381 z uwzględniem zmian ustawą z Dz.U. 2021 poz. 1927.
Model analityczny zapisany w formułach raportu umożliwia ocenę wpływu zmian prognozowanych kwot w głównych pozycjach WPF związanych z relacjami określonymi art. 242-244 uofp na sytuację finansową JST.
</t>
  </si>
  <si>
    <t xml:space="preserve">Wynik analizy/symulacji znajduje się na zakładce "WPF_Analiza" stanowiąc sumę informacji zawartych w: 
zakładce "WPF_bazowy" oraz odpowiednich pozycji na zakładce "Symulacje" (WPF_bazowy + Symulacje  = WPF_Analiza)
Każdy z wierszy obszaru "Dane do symulacji" oprócz tytułu wskazującego na jego przeznaczenie został opatrzyny (w kol. E) opisem wpływu na pozycjie WPF.
</t>
  </si>
  <si>
    <t>Informacje dot. modelu Symulacja</t>
  </si>
  <si>
    <t>Informacje wspólne dot. Analizy WPF i Symulacji</t>
  </si>
  <si>
    <t>2021-12-07a</t>
  </si>
  <si>
    <t>Poprawiono formułę w komórce X114 na WPF_Bazowy</t>
  </si>
  <si>
    <t>20220216_zmianaWPF_v2</t>
  </si>
  <si>
    <t>średzki</t>
  </si>
  <si>
    <t xml:space="preserve">[8.3.1]-[art15zoc_8.1_ROD]_x000D_
</t>
  </si>
  <si>
    <t>[5.1.1.3.1] + [5.1.1.3.2] + [5.1.1.3.3]</t>
  </si>
  <si>
    <t>[1.1] + [1.2]</t>
  </si>
  <si>
    <t>[10.1.1] + [10.1.2]</t>
  </si>
  <si>
    <t>[6]/[1]</t>
  </si>
  <si>
    <t>([5.1]-[5.1.1]+([10.7.2.1]-[10.9])+([2.1.2]-[2.1.2.1])+([2.1.3]-([2.1.3.1]+[2.1.3.2]+[2.1.3.3])+[10.4]))/([1.1]-[1.1.4]-[11.1.1])</t>
  </si>
  <si>
    <t>(([1.1]-[9.1.1]-[11.1.1])-([2.1]-[9.3.1]-[10.7.2.1.1]-[2.1.3]-[10.11])+[1.2.1])/([1.1]-[1.1.4]-[11.1.1])</t>
  </si>
  <si>
    <t xml:space="preserve">    spłata zobowiązań wymagalnych z lat poprzednich, innych niż w poz. 10.7.3</t>
  </si>
  <si>
    <t>[1] - [2]</t>
  </si>
  <si>
    <t>[2.1] + [2.2]</t>
  </si>
  <si>
    <t>[7.2]</t>
  </si>
  <si>
    <t xml:space="preserve">  Stopień niezachowania relacji zrównoważenia wydatków bieżących, o której mowa w poz. 7.2</t>
  </si>
  <si>
    <t xml:space="preserve">      kwota przypadających na dany rok kwot pozostałych ustawowych wyłączeń z limitu spłaty zobowiązań</t>
  </si>
  <si>
    <t xml:space="preserve">      pozostałe odsetki i dyskonto podlegające wyłączeniu z limitu spłaty zobowiązań, o którym mowa w art. 243 ustawy</t>
  </si>
  <si>
    <t xml:space="preserve">  Różnica między dochodami bieżącymi, skorygowanymi o środki a wydatkami bieżącymi</t>
  </si>
  <si>
    <t xml:space="preserve">  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</si>
  <si>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</si>
  <si>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[1.1] - [2.1]</t>
  </si>
  <si>
    <t xml:space="preserve">[5.1.1.1] + [5.1.1.2] + [5.1.1.3] + [5.1.1.4]_x000D_
</t>
  </si>
  <si>
    <t xml:space="preserve">    łączna kwota przypadających na dany rok kwot ustawowych wyłączeń z limitu spłaty zobowiązań, z tego:</t>
  </si>
  <si>
    <t xml:space="preserve">  Wydatki bieżące podlegające ustawowemu wyłączeniu z limitu spłaty zobowiązań</t>
  </si>
  <si>
    <t>[8.3]-[8.1]</t>
  </si>
  <si>
    <t>([5.1]-[5.1.1]+([10.7.2.1]-[10.9])+([2.1.2]-[2.1.2.1])+([2.1.3]-([2.1.3.1]+[2.1.3.2]+[2.1.3.3])-[11.2]+[10.4]+[10.10] ))/([1.1]-[1.1.4]-[11.1.1])</t>
  </si>
  <si>
    <t>[5.1] + [5.2]</t>
  </si>
  <si>
    <t>[4.1] + [4.2] + [4.3] + [4.4] + [4.5]</t>
  </si>
  <si>
    <t>[8.3.1]-[8.1]</t>
  </si>
  <si>
    <t xml:space="preserve">  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</si>
  <si>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 xml:space="preserve">  Stopień niezachowania wskaźnika spłaty zobowiązań, o którym mowa w poz. 8.4.1</t>
  </si>
  <si>
    <t xml:space="preserve">  Środki z przedsięwzięcia gromadzone na rachunku bankowym, w tym:</t>
  </si>
  <si>
    <t xml:space="preserve">    Dochody majątkowe na programy, projekty lub zadania finansowane z udziałem środków, o których mowa w art. 5 ust. 1 pkt 2 ustawy, w tym:</t>
  </si>
  <si>
    <t>Stopnie niezachowania relacji określonych w art. 242-244 ustawy w przypadku określonym w ... ustawy</t>
  </si>
  <si>
    <t xml:space="preserve">  Wydatki bieżące z tytułu świadczenia emitenta należnego obligatariuszom, nieuwzględniane w limicie spłaty zobowiązań</t>
  </si>
  <si>
    <t xml:space="preserve">  Relacja określona po prawej stronie nierówności we wzorze, o którym mowa w art. 243 ust. 1 ustawy, ustalona dla danego roku (wskaźnik jednoroczny)</t>
  </si>
  <si>
    <t xml:space="preserve">  Stopień niezachowania wskaźnika spłaty zobowiązań, o którym mowa w poz. 8.4</t>
  </si>
  <si>
    <t xml:space="preserve">[8.3]-[art15zoc_8.1_ROD]_x000D_
</t>
  </si>
  <si>
    <t>(([1.1]-[9.1.1]-[11.1.1])-([2.1]-[9.3.1]-[10.7.2.1.1]-[2.1.3]-[10.11]))/([1.1]-[1.1.4]-[11.1.1])</t>
  </si>
  <si>
    <t xml:space="preserve">  Spłaty, o których mowa w poz. 5.1, wynikające wyłącznie z tytułu zobowiązań już zaciągniętych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</si>
</sst>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66" formatCode="#,##0.0"/>
  </numFmts>
  <fonts count="1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Czcionka tekstu podstawowego"/>
      <charset val="238"/>
    </font>
    <font>
      <sz val="10"/>
      <color indexed="8"/>
      <name val="Times New Roman"/>
      <family val="1"/>
      <charset val="238"/>
    </font>
    <font>
      <b/>
      <i/>
      <sz val="8"/>
      <color indexed="8"/>
      <name val="Czcionka tekstu podstawowego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Czcionka tekstu podstawowego"/>
      <family val="2"/>
      <charset val="238"/>
    </font>
    <font>
      <b/>
      <u/>
      <sz val="9"/>
      <color indexed="8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u/>
      <sz val="9"/>
      <color indexed="1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i/>
      <sz val="9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u/>
      <sz val="9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0"/>
      <color rgb="FFFF0000"/>
      <name val="Czcionka tekstu podstawowego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rgb="FF0070C0"/>
      <name val="Czcionka tekstu podstawowego"/>
      <charset val="238"/>
    </font>
    <font>
      <b/>
      <sz val="9"/>
      <color rgb="FFFF0000"/>
      <name val="Czcionka tekstu podstawowego"/>
      <charset val="238"/>
    </font>
    <font>
      <i/>
      <sz val="9"/>
      <color theme="1"/>
      <name val="Arial Narrow"/>
      <family val="2"/>
      <charset val="238"/>
    </font>
    <font>
      <b/>
      <sz val="11"/>
      <color rgb="FFFF0000"/>
      <name val="Czcionka tekstu podstawowego"/>
      <charset val="238"/>
    </font>
    <font>
      <b/>
      <sz val="9"/>
      <color rgb="FFFF33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i/>
      <sz val="12"/>
      <color rgb="FFFF0000"/>
      <name val="Czcionka tekstu podstawowego"/>
      <charset val="238"/>
    </font>
    <font>
      <b/>
      <i/>
      <sz val="10"/>
      <color rgb="FFFF000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trike/>
      <sz val="9"/>
      <color theme="1"/>
      <name val="Cambria"/>
      <family val="1"/>
      <charset val="238"/>
    </font>
    <font>
      <sz val="8"/>
      <color theme="1"/>
      <name val="Arial Narrow"/>
      <family val="2"/>
      <charset val="238"/>
    </font>
    <font>
      <b/>
      <i/>
      <sz val="9"/>
      <color rgb="FF0000FF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theme="1"/>
      <name val="Czcionka tekstu podstawowego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0" fontId="1" fillId="2" borderId="0" applyNumberFormat="0" applyBorder="0" applyAlignment="0" applyProtection="0"/>
    <xf numFmtId="0" fontId="63" fillId="25" borderId="0" applyNumberFormat="0" applyBorder="0" applyAlignment="0" applyProtection="0"/>
    <xf numFmtId="0" fontId="1" fillId="3" borderId="0" applyNumberFormat="0" applyBorder="0" applyAlignment="0" applyProtection="0"/>
    <xf numFmtId="0" fontId="63" fillId="26" borderId="0" applyNumberFormat="0" applyBorder="0" applyAlignment="0" applyProtection="0"/>
    <xf numFmtId="0" fontId="1" fillId="4" borderId="0" applyNumberFormat="0" applyBorder="0" applyAlignment="0" applyProtection="0"/>
    <xf numFmtId="0" fontId="63" fillId="27" borderId="0" applyNumberFormat="0" applyBorder="0" applyAlignment="0" applyProtection="0"/>
    <xf numFmtId="0" fontId="1" fillId="5" borderId="0" applyNumberFormat="0" applyBorder="0" applyAlignment="0" applyProtection="0"/>
    <xf numFmtId="0" fontId="63" fillId="28" borderId="0" applyNumberFormat="0" applyBorder="0" applyAlignment="0" applyProtection="0"/>
    <xf numFmtId="0" fontId="1" fillId="6" borderId="0" applyNumberFormat="0" applyBorder="0" applyAlignment="0" applyProtection="0"/>
    <xf numFmtId="0" fontId="63" fillId="29" borderId="0" applyNumberFormat="0" applyBorder="0" applyAlignment="0" applyProtection="0"/>
    <xf numFmtId="0" fontId="1" fillId="7" borderId="0" applyNumberFormat="0" applyBorder="0" applyAlignment="0" applyProtection="0"/>
    <xf numFmtId="0" fontId="63" fillId="30" borderId="0" applyNumberFormat="0" applyBorder="0" applyAlignment="0" applyProtection="0"/>
    <xf numFmtId="0" fontId="1" fillId="8" borderId="0" applyNumberFormat="0" applyBorder="0" applyAlignment="0" applyProtection="0"/>
    <xf numFmtId="0" fontId="63" fillId="31" borderId="0" applyNumberFormat="0" applyBorder="0" applyAlignment="0" applyProtection="0"/>
    <xf numFmtId="0" fontId="1" fillId="9" borderId="0" applyNumberFormat="0" applyBorder="0" applyAlignment="0" applyProtection="0"/>
    <xf numFmtId="0" fontId="63" fillId="32" borderId="0" applyNumberFormat="0" applyBorder="0" applyAlignment="0" applyProtection="0"/>
    <xf numFmtId="0" fontId="1" fillId="10" borderId="0" applyNumberFormat="0" applyBorder="0" applyAlignment="0" applyProtection="0"/>
    <xf numFmtId="0" fontId="63" fillId="33" borderId="0" applyNumberFormat="0" applyBorder="0" applyAlignment="0" applyProtection="0"/>
    <xf numFmtId="0" fontId="1" fillId="5" borderId="0" applyNumberFormat="0" applyBorder="0" applyAlignment="0" applyProtection="0"/>
    <xf numFmtId="0" fontId="63" fillId="34" borderId="0" applyNumberFormat="0" applyBorder="0" applyAlignment="0" applyProtection="0"/>
    <xf numFmtId="0" fontId="1" fillId="8" borderId="0" applyNumberFormat="0" applyBorder="0" applyAlignment="0" applyProtection="0"/>
    <xf numFmtId="0" fontId="63" fillId="35" borderId="0" applyNumberFormat="0" applyBorder="0" applyAlignment="0" applyProtection="0"/>
    <xf numFmtId="0" fontId="1" fillId="11" borderId="0" applyNumberFormat="0" applyBorder="0" applyAlignment="0" applyProtection="0"/>
    <xf numFmtId="0" fontId="63" fillId="36" borderId="0" applyNumberFormat="0" applyBorder="0" applyAlignment="0" applyProtection="0"/>
    <xf numFmtId="0" fontId="12" fillId="12" borderId="0" applyNumberFormat="0" applyBorder="0" applyAlignment="0" applyProtection="0"/>
    <xf numFmtId="0" fontId="64" fillId="37" borderId="0" applyNumberFormat="0" applyBorder="0" applyAlignment="0" applyProtection="0"/>
    <xf numFmtId="0" fontId="12" fillId="9" borderId="0" applyNumberFormat="0" applyBorder="0" applyAlignment="0" applyProtection="0"/>
    <xf numFmtId="0" fontId="64" fillId="38" borderId="0" applyNumberFormat="0" applyBorder="0" applyAlignment="0" applyProtection="0"/>
    <xf numFmtId="0" fontId="12" fillId="10" borderId="0" applyNumberFormat="0" applyBorder="0" applyAlignment="0" applyProtection="0"/>
    <xf numFmtId="0" fontId="64" fillId="39" borderId="0" applyNumberFormat="0" applyBorder="0" applyAlignment="0" applyProtection="0"/>
    <xf numFmtId="0" fontId="12" fillId="13" borderId="0" applyNumberFormat="0" applyBorder="0" applyAlignment="0" applyProtection="0"/>
    <xf numFmtId="0" fontId="64" fillId="40" borderId="0" applyNumberFormat="0" applyBorder="0" applyAlignment="0" applyProtection="0"/>
    <xf numFmtId="0" fontId="12" fillId="14" borderId="0" applyNumberFormat="0" applyBorder="0" applyAlignment="0" applyProtection="0"/>
    <xf numFmtId="0" fontId="64" fillId="41" borderId="0" applyNumberFormat="0" applyBorder="0" applyAlignment="0" applyProtection="0"/>
    <xf numFmtId="0" fontId="12" fillId="15" borderId="0" applyNumberFormat="0" applyBorder="0" applyAlignment="0" applyProtection="0"/>
    <xf numFmtId="0" fontId="64" fillId="42" borderId="0" applyNumberFormat="0" applyBorder="0" applyAlignment="0" applyProtection="0"/>
    <xf numFmtId="0" fontId="12" fillId="16" borderId="0" applyNumberFormat="0" applyBorder="0" applyAlignment="0" applyProtection="0"/>
    <xf numFmtId="0" fontId="64" fillId="43" borderId="0" applyNumberFormat="0" applyBorder="0" applyAlignment="0" applyProtection="0"/>
    <xf numFmtId="0" fontId="12" fillId="17" borderId="0" applyNumberFormat="0" applyBorder="0" applyAlignment="0" applyProtection="0"/>
    <xf numFmtId="0" fontId="64" fillId="44" borderId="0" applyNumberFormat="0" applyBorder="0" applyAlignment="0" applyProtection="0"/>
    <xf numFmtId="0" fontId="12" fillId="18" borderId="0" applyNumberFormat="0" applyBorder="0" applyAlignment="0" applyProtection="0"/>
    <xf numFmtId="0" fontId="64" fillId="45" borderId="0" applyNumberFormat="0" applyBorder="0" applyAlignment="0" applyProtection="0"/>
    <xf numFmtId="0" fontId="12" fillId="13" borderId="0" applyNumberFormat="0" applyBorder="0" applyAlignment="0" applyProtection="0"/>
    <xf numFmtId="0" fontId="64" fillId="46" borderId="0" applyNumberFormat="0" applyBorder="0" applyAlignment="0" applyProtection="0"/>
    <xf numFmtId="0" fontId="12" fillId="14" borderId="0" applyNumberFormat="0" applyBorder="0" applyAlignment="0" applyProtection="0"/>
    <xf numFmtId="0" fontId="64" fillId="47" borderId="0" applyNumberFormat="0" applyBorder="0" applyAlignment="0" applyProtection="0"/>
    <xf numFmtId="0" fontId="12" fillId="19" borderId="0" applyNumberFormat="0" applyBorder="0" applyAlignment="0" applyProtection="0"/>
    <xf numFmtId="0" fontId="64" fillId="48" borderId="0" applyNumberFormat="0" applyBorder="0" applyAlignment="0" applyProtection="0"/>
    <xf numFmtId="0" fontId="13" fillId="7" borderId="1" applyNumberFormat="0" applyAlignment="0" applyProtection="0"/>
    <xf numFmtId="0" fontId="65" fillId="49" borderId="54" applyNumberFormat="0" applyAlignment="0" applyProtection="0"/>
    <xf numFmtId="0" fontId="14" fillId="20" borderId="2" applyNumberFormat="0" applyAlignment="0" applyProtection="0"/>
    <xf numFmtId="0" fontId="66" fillId="50" borderId="55" applyNumberFormat="0" applyAlignment="0" applyProtection="0"/>
    <xf numFmtId="0" fontId="15" fillId="4" borderId="0" applyNumberFormat="0" applyBorder="0" applyAlignment="0" applyProtection="0"/>
    <xf numFmtId="0" fontId="67" fillId="51" borderId="0" applyNumberFormat="0" applyBorder="0" applyAlignment="0" applyProtection="0"/>
    <xf numFmtId="0" fontId="16" fillId="0" borderId="3" applyNumberFormat="0" applyFill="0" applyAlignment="0" applyProtection="0"/>
    <xf numFmtId="0" fontId="68" fillId="0" borderId="56" applyNumberFormat="0" applyFill="0" applyAlignment="0" applyProtection="0"/>
    <xf numFmtId="0" fontId="17" fillId="21" borderId="4" applyNumberFormat="0" applyAlignment="0" applyProtection="0"/>
    <xf numFmtId="0" fontId="69" fillId="52" borderId="57" applyNumberFormat="0" applyAlignment="0" applyProtection="0"/>
    <xf numFmtId="0" fontId="18" fillId="0" borderId="5" applyNumberFormat="0" applyFill="0" applyAlignment="0" applyProtection="0"/>
    <xf numFmtId="0" fontId="70" fillId="0" borderId="58" applyNumberFormat="0" applyFill="0" applyAlignment="0" applyProtection="0"/>
    <xf numFmtId="0" fontId="19" fillId="0" borderId="6" applyNumberFormat="0" applyFill="0" applyAlignment="0" applyProtection="0"/>
    <xf numFmtId="0" fontId="71" fillId="0" borderId="59" applyNumberFormat="0" applyFill="0" applyAlignment="0" applyProtection="0"/>
    <xf numFmtId="0" fontId="20" fillId="0" borderId="7" applyNumberFormat="0" applyFill="0" applyAlignment="0" applyProtection="0"/>
    <xf numFmtId="0" fontId="72" fillId="0" borderId="60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3" fillId="53" borderId="0" applyNumberFormat="0" applyBorder="0" applyAlignment="0" applyProtection="0"/>
    <xf numFmtId="0" fontId="74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63" fillId="0" borderId="0"/>
    <xf numFmtId="0" fontId="63" fillId="0" borderId="0"/>
    <xf numFmtId="0" fontId="62" fillId="0" borderId="0"/>
    <xf numFmtId="0" fontId="22" fillId="20" borderId="1" applyNumberFormat="0" applyAlignment="0" applyProtection="0"/>
    <xf numFmtId="0" fontId="75" fillId="50" borderId="54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76" fillId="0" borderId="61" applyNumberFormat="0" applyFill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63" fillId="54" borderId="62" applyNumberFormat="0" applyFont="0" applyAlignment="0" applyProtection="0"/>
    <xf numFmtId="0" fontId="27" fillId="3" borderId="0" applyNumberFormat="0" applyBorder="0" applyAlignment="0" applyProtection="0"/>
    <xf numFmtId="0" fontId="80" fillId="55" borderId="0" applyNumberFormat="0" applyBorder="0" applyAlignment="0" applyProtection="0"/>
  </cellStyleXfs>
  <cellXfs count="551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1" fillId="0" borderId="0" xfId="0" applyFont="1"/>
    <xf numFmtId="0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right"/>
    </xf>
    <xf numFmtId="1" fontId="84" fillId="0" borderId="0" xfId="0" applyNumberFormat="1" applyFont="1" applyAlignment="1">
      <alignment horizontal="center" vertical="center"/>
    </xf>
    <xf numFmtId="164" fontId="84" fillId="0" borderId="0" xfId="0" applyNumberFormat="1" applyFont="1" applyAlignment="1">
      <alignment vertical="center"/>
    </xf>
    <xf numFmtId="2" fontId="84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14" fontId="8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left" indent="1"/>
    </xf>
    <xf numFmtId="164" fontId="8" fillId="0" borderId="0" xfId="0" applyNumberFormat="1" applyFont="1"/>
    <xf numFmtId="0" fontId="30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/>
    <xf numFmtId="0" fontId="0" fillId="0" borderId="0" xfId="0" applyFont="1"/>
    <xf numFmtId="0" fontId="85" fillId="0" borderId="0" xfId="0" applyFont="1"/>
    <xf numFmtId="0" fontId="86" fillId="0" borderId="11" xfId="0" applyFont="1" applyBorder="1" applyAlignment="1">
      <alignment horizontal="left" vertical="center"/>
    </xf>
    <xf numFmtId="164" fontId="4" fillId="0" borderId="12" xfId="81" applyNumberFormat="1" applyFont="1" applyFill="1" applyBorder="1" applyAlignment="1">
      <alignment vertical="center" shrinkToFit="1"/>
    </xf>
    <xf numFmtId="164" fontId="4" fillId="0" borderId="13" xfId="81" applyNumberFormat="1" applyFont="1" applyFill="1" applyBorder="1" applyAlignment="1">
      <alignment vertical="center" shrinkToFit="1"/>
    </xf>
    <xf numFmtId="164" fontId="4" fillId="0" borderId="14" xfId="81" applyNumberFormat="1" applyFont="1" applyFill="1" applyBorder="1" applyAlignment="1">
      <alignment vertical="center" shrinkToFit="1"/>
    </xf>
    <xf numFmtId="49" fontId="31" fillId="24" borderId="0" xfId="0" applyNumberFormat="1" applyFont="1" applyFill="1" applyAlignment="1" applyProtection="1">
      <alignment vertical="center"/>
      <protection locked="0"/>
    </xf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87" fillId="0" borderId="0" xfId="0" applyFont="1" applyProtection="1">
      <protection locked="0"/>
    </xf>
    <xf numFmtId="0" fontId="88" fillId="0" borderId="0" xfId="0" applyFont="1" applyProtection="1">
      <protection locked="0"/>
    </xf>
    <xf numFmtId="0" fontId="8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4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0" fillId="0" borderId="18" xfId="84" applyFont="1" applyBorder="1" applyAlignment="1">
      <alignment vertical="center"/>
    </xf>
    <xf numFmtId="0" fontId="90" fillId="0" borderId="19" xfId="8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left" vertical="center"/>
    </xf>
    <xf numFmtId="10" fontId="3" fillId="56" borderId="16" xfId="0" applyNumberFormat="1" applyFont="1" applyFill="1" applyBorder="1" applyAlignment="1">
      <alignment horizontal="center" vertical="center"/>
    </xf>
    <xf numFmtId="10" fontId="3" fillId="56" borderId="17" xfId="0" applyNumberFormat="1" applyFont="1" applyFill="1" applyBorder="1" applyAlignment="1">
      <alignment horizontal="center" vertical="center"/>
    </xf>
    <xf numFmtId="10" fontId="3" fillId="56" borderId="20" xfId="0" applyNumberFormat="1" applyFont="1" applyFill="1" applyBorder="1" applyAlignment="1">
      <alignment horizontal="center" vertical="center"/>
    </xf>
    <xf numFmtId="10" fontId="3" fillId="56" borderId="21" xfId="0" applyNumberFormat="1" applyFont="1" applyFill="1" applyBorder="1" applyAlignment="1">
      <alignment horizontal="center" vertical="center"/>
    </xf>
    <xf numFmtId="0" fontId="32" fillId="56" borderId="16" xfId="0" applyFont="1" applyFill="1" applyBorder="1" applyAlignment="1">
      <alignment horizontal="center" vertical="center" wrapText="1"/>
    </xf>
    <xf numFmtId="0" fontId="32" fillId="56" borderId="20" xfId="0" applyFont="1" applyFill="1" applyBorder="1" applyAlignment="1">
      <alignment horizontal="center" vertical="center" wrapText="1"/>
    </xf>
    <xf numFmtId="0" fontId="0" fillId="0" borderId="0" xfId="0"/>
    <xf numFmtId="0" fontId="91" fillId="0" borderId="22" xfId="0" applyFont="1" applyBorder="1" applyAlignment="1">
      <alignment horizontal="left" vertical="center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1" fillId="0" borderId="11" xfId="0" applyFont="1" applyBorder="1" applyAlignment="1">
      <alignment horizontal="left" vertical="center"/>
    </xf>
    <xf numFmtId="164" fontId="4" fillId="56" borderId="13" xfId="81" applyNumberFormat="1" applyFont="1" applyFill="1" applyBorder="1" applyAlignment="1">
      <alignment vertical="center" shrinkToFit="1"/>
    </xf>
    <xf numFmtId="164" fontId="4" fillId="56" borderId="14" xfId="81" applyNumberFormat="1" applyFont="1" applyFill="1" applyBorder="1" applyAlignment="1">
      <alignment vertical="center" shrinkToFit="1"/>
    </xf>
    <xf numFmtId="164" fontId="3" fillId="56" borderId="13" xfId="81" applyNumberFormat="1" applyFont="1" applyFill="1" applyBorder="1" applyAlignment="1">
      <alignment vertical="center" shrinkToFit="1"/>
    </xf>
    <xf numFmtId="164" fontId="3" fillId="56" borderId="14" xfId="81" applyNumberFormat="1" applyFont="1" applyFill="1" applyBorder="1" applyAlignment="1">
      <alignment vertical="center" shrinkToFit="1"/>
    </xf>
    <xf numFmtId="164" fontId="3" fillId="0" borderId="12" xfId="81" applyNumberFormat="1" applyFont="1" applyFill="1" applyBorder="1" applyAlignment="1">
      <alignment vertical="center" shrinkToFit="1"/>
    </xf>
    <xf numFmtId="164" fontId="3" fillId="0" borderId="13" xfId="81" applyNumberFormat="1" applyFont="1" applyFill="1" applyBorder="1" applyAlignment="1">
      <alignment vertical="center" shrinkToFit="1"/>
    </xf>
    <xf numFmtId="164" fontId="3" fillId="0" borderId="14" xfId="81" applyNumberFormat="1" applyFont="1" applyFill="1" applyBorder="1" applyAlignment="1">
      <alignment vertical="center" shrinkToFit="1"/>
    </xf>
    <xf numFmtId="0" fontId="91" fillId="0" borderId="11" xfId="0" applyFont="1" applyBorder="1" applyAlignment="1" applyProtection="1">
      <alignment horizontal="left" vertical="center"/>
      <protection locked="0"/>
    </xf>
    <xf numFmtId="3" fontId="84" fillId="0" borderId="0" xfId="0" applyNumberFormat="1" applyFont="1" applyAlignment="1">
      <alignment vertical="center"/>
    </xf>
    <xf numFmtId="164" fontId="4" fillId="56" borderId="13" xfId="81" applyNumberFormat="1" applyFont="1" applyFill="1" applyBorder="1" applyAlignment="1">
      <alignment horizontal="center" vertical="center" shrinkToFit="1"/>
    </xf>
    <xf numFmtId="164" fontId="4" fillId="56" borderId="14" xfId="81" applyNumberFormat="1" applyFont="1" applyFill="1" applyBorder="1" applyAlignment="1">
      <alignment horizontal="center" vertical="center" shrinkToFit="1"/>
    </xf>
    <xf numFmtId="164" fontId="4" fillId="0" borderId="12" xfId="81" applyNumberFormat="1" applyFont="1" applyFill="1" applyBorder="1" applyAlignment="1">
      <alignment horizontal="center" vertical="center" shrinkToFit="1"/>
    </xf>
    <xf numFmtId="164" fontId="4" fillId="0" borderId="13" xfId="81" applyNumberFormat="1" applyFont="1" applyFill="1" applyBorder="1" applyAlignment="1">
      <alignment horizontal="center" vertical="center" shrinkToFit="1"/>
    </xf>
    <xf numFmtId="164" fontId="4" fillId="0" borderId="14" xfId="81" applyNumberFormat="1" applyFont="1" applyFill="1" applyBorder="1" applyAlignment="1">
      <alignment horizontal="center" vertical="center" shrinkToFit="1"/>
    </xf>
    <xf numFmtId="10" fontId="3" fillId="0" borderId="12" xfId="81" applyNumberFormat="1" applyFont="1" applyFill="1" applyBorder="1" applyAlignment="1">
      <alignment vertical="center" shrinkToFit="1"/>
    </xf>
    <xf numFmtId="10" fontId="3" fillId="0" borderId="13" xfId="81" applyNumberFormat="1" applyFont="1" applyFill="1" applyBorder="1" applyAlignment="1">
      <alignment vertical="center" shrinkToFit="1"/>
    </xf>
    <xf numFmtId="10" fontId="3" fillId="0" borderId="14" xfId="81" applyNumberFormat="1" applyFont="1" applyFill="1" applyBorder="1" applyAlignment="1">
      <alignment vertical="center" shrinkToFit="1"/>
    </xf>
    <xf numFmtId="10" fontId="3" fillId="56" borderId="13" xfId="81" applyNumberFormat="1" applyFont="1" applyFill="1" applyBorder="1" applyAlignment="1">
      <alignment vertical="center" shrinkToFit="1"/>
    </xf>
    <xf numFmtId="10" fontId="3" fillId="56" borderId="14" xfId="81" applyNumberFormat="1" applyFont="1" applyFill="1" applyBorder="1" applyAlignment="1">
      <alignment vertical="center" shrinkToFit="1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57" borderId="13" xfId="0" applyFont="1" applyFill="1" applyBorder="1" applyAlignment="1" applyProtection="1">
      <alignment horizontal="left" vertical="center"/>
      <protection locked="0"/>
    </xf>
    <xf numFmtId="0" fontId="91" fillId="0" borderId="20" xfId="0" applyFont="1" applyBorder="1" applyAlignment="1" applyProtection="1">
      <alignment horizontal="left" vertical="center"/>
      <protection locked="0"/>
    </xf>
    <xf numFmtId="0" fontId="91" fillId="0" borderId="23" xfId="0" applyFont="1" applyBorder="1" applyAlignment="1" applyProtection="1">
      <alignment horizontal="left" vertical="center"/>
      <protection locked="0"/>
    </xf>
    <xf numFmtId="164" fontId="4" fillId="56" borderId="23" xfId="81" applyNumberFormat="1" applyFont="1" applyFill="1" applyBorder="1" applyAlignment="1">
      <alignment vertical="center" shrinkToFit="1"/>
    </xf>
    <xf numFmtId="164" fontId="4" fillId="0" borderId="23" xfId="81" applyNumberFormat="1" applyFont="1" applyFill="1" applyBorder="1" applyAlignment="1">
      <alignment vertical="center" shrinkToFit="1"/>
    </xf>
    <xf numFmtId="164" fontId="4" fillId="0" borderId="24" xfId="81" applyNumberFormat="1" applyFont="1" applyFill="1" applyBorder="1" applyAlignment="1">
      <alignment vertical="center" shrinkToFit="1"/>
    </xf>
    <xf numFmtId="49" fontId="31" fillId="58" borderId="25" xfId="81" applyNumberFormat="1" applyFont="1" applyFill="1" applyBorder="1" applyAlignment="1">
      <alignment horizontal="center" vertical="center"/>
    </xf>
    <xf numFmtId="49" fontId="31" fillId="58" borderId="26" xfId="81" applyNumberFormat="1" applyFont="1" applyFill="1" applyBorder="1" applyAlignment="1" applyProtection="1">
      <alignment horizontal="center" vertical="center"/>
      <protection locked="0"/>
    </xf>
    <xf numFmtId="1" fontId="31" fillId="58" borderId="26" xfId="81" applyNumberFormat="1" applyFont="1" applyFill="1" applyBorder="1" applyAlignment="1">
      <alignment horizontal="center" vertical="center" wrapText="1"/>
    </xf>
    <xf numFmtId="1" fontId="31" fillId="58" borderId="26" xfId="81" applyNumberFormat="1" applyFont="1" applyFill="1" applyBorder="1" applyAlignment="1">
      <alignment horizontal="center" vertical="center"/>
    </xf>
    <xf numFmtId="1" fontId="31" fillId="58" borderId="27" xfId="81" applyNumberFormat="1" applyFont="1" applyFill="1" applyBorder="1" applyAlignment="1">
      <alignment horizontal="center" vertical="center"/>
    </xf>
    <xf numFmtId="0" fontId="86" fillId="0" borderId="28" xfId="0" applyFont="1" applyBorder="1" applyAlignment="1">
      <alignment horizontal="left" vertical="center"/>
    </xf>
    <xf numFmtId="0" fontId="86" fillId="0" borderId="11" xfId="0" quotePrefix="1" applyFont="1" applyBorder="1" applyAlignment="1">
      <alignment horizontal="left" vertical="center"/>
    </xf>
    <xf numFmtId="10" fontId="3" fillId="56" borderId="29" xfId="0" applyNumberFormat="1" applyFont="1" applyFill="1" applyBorder="1" applyAlignment="1">
      <alignment horizontal="center" vertical="center"/>
    </xf>
    <xf numFmtId="10" fontId="3" fillId="56" borderId="30" xfId="0" applyNumberFormat="1" applyFont="1" applyFill="1" applyBorder="1" applyAlignment="1">
      <alignment horizontal="center" vertical="center"/>
    </xf>
    <xf numFmtId="1" fontId="31" fillId="58" borderId="31" xfId="81" applyNumberFormat="1" applyFont="1" applyFill="1" applyBorder="1" applyAlignment="1">
      <alignment horizontal="center" vertical="center" wrapText="1"/>
    </xf>
    <xf numFmtId="164" fontId="4" fillId="56" borderId="32" xfId="81" applyNumberFormat="1" applyFont="1" applyFill="1" applyBorder="1" applyAlignment="1">
      <alignment vertical="center" shrinkToFit="1"/>
    </xf>
    <xf numFmtId="164" fontId="3" fillId="56" borderId="12" xfId="81" applyNumberFormat="1" applyFont="1" applyFill="1" applyBorder="1" applyAlignment="1">
      <alignment vertical="center" shrinkToFit="1"/>
    </xf>
    <xf numFmtId="164" fontId="4" fillId="56" borderId="12" xfId="81" applyNumberFormat="1" applyFont="1" applyFill="1" applyBorder="1" applyAlignment="1">
      <alignment vertical="center" shrinkToFit="1"/>
    </xf>
    <xf numFmtId="164" fontId="4" fillId="56" borderId="12" xfId="81" applyNumberFormat="1" applyFont="1" applyFill="1" applyBorder="1" applyAlignment="1">
      <alignment horizontal="center" vertical="center" shrinkToFit="1"/>
    </xf>
    <xf numFmtId="10" fontId="3" fillId="56" borderId="12" xfId="81" applyNumberFormat="1" applyFont="1" applyFill="1" applyBorder="1" applyAlignment="1">
      <alignment vertical="center" shrinkToFit="1"/>
    </xf>
    <xf numFmtId="49" fontId="31" fillId="58" borderId="27" xfId="81" applyNumberFormat="1" applyFont="1" applyFill="1" applyBorder="1" applyAlignment="1">
      <alignment horizontal="center" vertical="center"/>
    </xf>
    <xf numFmtId="0" fontId="86" fillId="0" borderId="24" xfId="0" applyFont="1" applyBorder="1" applyAlignment="1">
      <alignment vertical="center" wrapText="1"/>
    </xf>
    <xf numFmtId="0" fontId="91" fillId="0" borderId="14" xfId="0" applyFont="1" applyBorder="1" applyAlignment="1">
      <alignment horizontal="left" vertical="center" wrapText="1" indent="2"/>
    </xf>
    <xf numFmtId="0" fontId="91" fillId="0" borderId="14" xfId="0" applyFont="1" applyBorder="1" applyAlignment="1">
      <alignment horizontal="left" vertical="center" wrapText="1" indent="4"/>
    </xf>
    <xf numFmtId="0" fontId="86" fillId="0" borderId="14" xfId="0" applyFont="1" applyBorder="1" applyAlignment="1">
      <alignment vertical="center" wrapText="1"/>
    </xf>
    <xf numFmtId="0" fontId="91" fillId="0" borderId="21" xfId="0" applyFont="1" applyBorder="1" applyAlignment="1">
      <alignment horizontal="left" vertical="center" wrapText="1" indent="2"/>
    </xf>
    <xf numFmtId="1" fontId="31" fillId="58" borderId="31" xfId="81" applyNumberFormat="1" applyFont="1" applyFill="1" applyBorder="1" applyAlignment="1">
      <alignment horizontal="center" vertical="center"/>
    </xf>
    <xf numFmtId="164" fontId="4" fillId="0" borderId="32" xfId="81" applyNumberFormat="1" applyFont="1" applyFill="1" applyBorder="1" applyAlignment="1">
      <alignment vertical="center" shrinkToFit="1"/>
    </xf>
    <xf numFmtId="1" fontId="31" fillId="58" borderId="27" xfId="81" applyNumberFormat="1" applyFont="1" applyFill="1" applyBorder="1" applyAlignment="1">
      <alignment horizontal="center" vertical="center" wrapText="1"/>
    </xf>
    <xf numFmtId="164" fontId="4" fillId="56" borderId="24" xfId="81" applyNumberFormat="1" applyFont="1" applyFill="1" applyBorder="1" applyAlignment="1">
      <alignment vertical="center" shrinkToFit="1"/>
    </xf>
    <xf numFmtId="164" fontId="4" fillId="56" borderId="30" xfId="81" applyNumberFormat="1" applyFont="1" applyFill="1" applyBorder="1" applyAlignment="1">
      <alignment horizontal="center" vertical="center" shrinkToFit="1"/>
    </xf>
    <xf numFmtId="164" fontId="4" fillId="56" borderId="20" xfId="81" applyNumberFormat="1" applyFont="1" applyFill="1" applyBorder="1" applyAlignment="1">
      <alignment horizontal="center" vertical="center" shrinkToFit="1"/>
    </xf>
    <xf numFmtId="164" fontId="4" fillId="56" borderId="21" xfId="81" applyNumberFormat="1" applyFont="1" applyFill="1" applyBorder="1" applyAlignment="1">
      <alignment horizontal="center" vertical="center" shrinkToFit="1"/>
    </xf>
    <xf numFmtId="0" fontId="38" fillId="0" borderId="33" xfId="84" applyFont="1" applyBorder="1" applyAlignment="1">
      <alignment vertical="center"/>
    </xf>
    <xf numFmtId="0" fontId="38" fillId="0" borderId="34" xfId="84" applyFont="1" applyBorder="1" applyAlignment="1">
      <alignment vertical="center"/>
    </xf>
    <xf numFmtId="0" fontId="39" fillId="0" borderId="34" xfId="84" applyFont="1" applyBorder="1" applyAlignment="1">
      <alignment vertical="center"/>
    </xf>
    <xf numFmtId="0" fontId="38" fillId="0" borderId="35" xfId="84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8" fillId="57" borderId="2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Protection="1"/>
    <xf numFmtId="0" fontId="92" fillId="0" borderId="0" xfId="0" applyFont="1" applyProtection="1"/>
    <xf numFmtId="0" fontId="41" fillId="56" borderId="0" xfId="0" applyFont="1" applyFill="1" applyAlignment="1" applyProtection="1">
      <alignment vertical="center"/>
    </xf>
    <xf numFmtId="0" fontId="8" fillId="0" borderId="0" xfId="0" applyFont="1" applyAlignment="1" applyProtection="1"/>
    <xf numFmtId="0" fontId="41" fillId="59" borderId="0" xfId="0" applyFont="1" applyFill="1" applyAlignment="1" applyProtection="1">
      <alignment vertical="center"/>
    </xf>
    <xf numFmtId="0" fontId="8" fillId="0" borderId="0" xfId="0" applyFont="1" applyBorder="1" applyProtection="1"/>
    <xf numFmtId="0" fontId="10" fillId="0" borderId="0" xfId="0" applyFont="1" applyProtection="1"/>
    <xf numFmtId="0" fontId="9" fillId="0" borderId="0" xfId="0" applyFont="1" applyAlignment="1" applyProtection="1">
      <alignment horizontal="left"/>
    </xf>
    <xf numFmtId="0" fontId="41" fillId="60" borderId="0" xfId="0" applyFont="1" applyFill="1" applyAlignment="1" applyProtection="1">
      <alignment vertical="center"/>
    </xf>
    <xf numFmtId="0" fontId="89" fillId="0" borderId="0" xfId="0" applyFont="1" applyProtection="1"/>
    <xf numFmtId="0" fontId="41" fillId="61" borderId="0" xfId="0" applyFont="1" applyFill="1" applyAlignment="1" applyProtection="1">
      <alignment vertical="center"/>
    </xf>
    <xf numFmtId="0" fontId="31" fillId="0" borderId="15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left" vertical="center"/>
    </xf>
    <xf numFmtId="0" fontId="34" fillId="0" borderId="15" xfId="0" applyFont="1" applyBorder="1" applyAlignment="1" applyProtection="1">
      <alignment vertical="center" wrapText="1"/>
    </xf>
    <xf numFmtId="0" fontId="82" fillId="0" borderId="0" xfId="0" applyFont="1" applyAlignment="1" applyProtection="1">
      <alignment horizontal="left" vertical="center"/>
    </xf>
    <xf numFmtId="49" fontId="31" fillId="58" borderId="25" xfId="81" applyNumberFormat="1" applyFont="1" applyFill="1" applyBorder="1" applyAlignment="1" applyProtection="1">
      <alignment horizontal="center" vertical="center"/>
    </xf>
    <xf numFmtId="49" fontId="31" fillId="58" borderId="26" xfId="81" applyNumberFormat="1" applyFont="1" applyFill="1" applyBorder="1" applyAlignment="1" applyProtection="1">
      <alignment horizontal="center" vertical="center"/>
    </xf>
    <xf numFmtId="49" fontId="31" fillId="58" borderId="27" xfId="81" applyNumberFormat="1" applyFont="1" applyFill="1" applyBorder="1" applyAlignment="1" applyProtection="1">
      <alignment horizontal="center" vertical="center"/>
    </xf>
    <xf numFmtId="1" fontId="31" fillId="58" borderId="31" xfId="81" applyNumberFormat="1" applyFont="1" applyFill="1" applyBorder="1" applyAlignment="1" applyProtection="1">
      <alignment horizontal="center" vertical="center" wrapText="1"/>
    </xf>
    <xf numFmtId="1" fontId="31" fillId="58" borderId="26" xfId="81" applyNumberFormat="1" applyFont="1" applyFill="1" applyBorder="1" applyAlignment="1" applyProtection="1">
      <alignment horizontal="center" vertical="center" wrapText="1"/>
    </xf>
    <xf numFmtId="1" fontId="31" fillId="58" borderId="27" xfId="81" applyNumberFormat="1" applyFont="1" applyFill="1" applyBorder="1" applyAlignment="1" applyProtection="1">
      <alignment horizontal="center" vertical="center" wrapText="1"/>
    </xf>
    <xf numFmtId="1" fontId="31" fillId="58" borderId="31" xfId="81" applyNumberFormat="1" applyFont="1" applyFill="1" applyBorder="1" applyAlignment="1" applyProtection="1">
      <alignment horizontal="center" vertical="center"/>
    </xf>
    <xf numFmtId="1" fontId="31" fillId="58" borderId="26" xfId="81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85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93" fillId="0" borderId="28" xfId="0" applyFont="1" applyBorder="1" applyAlignment="1" applyProtection="1">
      <alignment horizontal="left" vertical="center"/>
    </xf>
    <xf numFmtId="0" fontId="94" fillId="0" borderId="23" xfId="0" applyFont="1" applyBorder="1" applyAlignment="1" applyProtection="1">
      <alignment horizontal="left" vertical="center"/>
    </xf>
    <xf numFmtId="164" fontId="40" fillId="56" borderId="12" xfId="81" applyNumberFormat="1" applyFont="1" applyFill="1" applyBorder="1" applyAlignment="1" applyProtection="1">
      <alignment vertical="center" shrinkToFit="1"/>
    </xf>
    <xf numFmtId="164" fontId="40" fillId="56" borderId="13" xfId="81" applyNumberFormat="1" applyFont="1" applyFill="1" applyBorder="1" applyAlignment="1" applyProtection="1">
      <alignment vertical="center" shrinkToFit="1"/>
    </xf>
    <xf numFmtId="164" fontId="40" fillId="59" borderId="24" xfId="81" applyNumberFormat="1" applyFont="1" applyFill="1" applyBorder="1" applyAlignment="1" applyProtection="1">
      <alignment vertical="center" shrinkToFit="1"/>
    </xf>
    <xf numFmtId="164" fontId="40" fillId="59" borderId="32" xfId="81" applyNumberFormat="1" applyFont="1" applyFill="1" applyBorder="1" applyAlignment="1" applyProtection="1">
      <alignment vertical="center" shrinkToFit="1"/>
    </xf>
    <xf numFmtId="164" fontId="40" fillId="59" borderId="23" xfId="81" applyNumberFormat="1" applyFont="1" applyFill="1" applyBorder="1" applyAlignment="1" applyProtection="1">
      <alignment vertical="center" shrinkToFit="1"/>
    </xf>
    <xf numFmtId="0" fontId="94" fillId="0" borderId="11" xfId="0" applyFont="1" applyBorder="1" applyAlignment="1" applyProtection="1">
      <alignment horizontal="left" vertical="center"/>
    </xf>
    <xf numFmtId="0" fontId="94" fillId="57" borderId="13" xfId="0" applyFont="1" applyFill="1" applyBorder="1" applyAlignment="1" applyProtection="1">
      <alignment horizontal="left" vertical="center"/>
    </xf>
    <xf numFmtId="164" fontId="44" fillId="56" borderId="12" xfId="81" applyNumberFormat="1" applyFont="1" applyFill="1" applyBorder="1" applyAlignment="1" applyProtection="1">
      <alignment vertical="center" shrinkToFit="1"/>
    </xf>
    <xf numFmtId="164" fontId="44" fillId="56" borderId="13" xfId="81" applyNumberFormat="1" applyFont="1" applyFill="1" applyBorder="1" applyAlignment="1" applyProtection="1">
      <alignment vertical="center" shrinkToFit="1"/>
    </xf>
    <xf numFmtId="164" fontId="44" fillId="59" borderId="14" xfId="81" applyNumberFormat="1" applyFont="1" applyFill="1" applyBorder="1" applyAlignment="1" applyProtection="1">
      <alignment vertical="center" shrinkToFit="1"/>
    </xf>
    <xf numFmtId="164" fontId="44" fillId="59" borderId="12" xfId="81" applyNumberFormat="1" applyFont="1" applyFill="1" applyBorder="1" applyAlignment="1" applyProtection="1">
      <alignment vertical="center" shrinkToFit="1"/>
    </xf>
    <xf numFmtId="164" fontId="44" fillId="59" borderId="13" xfId="81" applyNumberFormat="1" applyFont="1" applyFill="1" applyBorder="1" applyAlignment="1" applyProtection="1">
      <alignment vertical="center" shrinkToFit="1"/>
    </xf>
    <xf numFmtId="0" fontId="94" fillId="0" borderId="13" xfId="0" applyFont="1" applyBorder="1" applyAlignment="1" applyProtection="1">
      <alignment horizontal="left" vertical="center"/>
    </xf>
    <xf numFmtId="0" fontId="93" fillId="0" borderId="11" xfId="0" applyFont="1" applyBorder="1" applyAlignment="1" applyProtection="1">
      <alignment horizontal="left" vertical="center"/>
    </xf>
    <xf numFmtId="0" fontId="93" fillId="0" borderId="14" xfId="0" applyFont="1" applyBorder="1" applyAlignment="1" applyProtection="1">
      <alignment vertical="center" wrapText="1"/>
    </xf>
    <xf numFmtId="164" fontId="40" fillId="59" borderId="14" xfId="81" applyNumberFormat="1" applyFont="1" applyFill="1" applyBorder="1" applyAlignment="1" applyProtection="1">
      <alignment vertical="center" shrinkToFit="1"/>
    </xf>
    <xf numFmtId="164" fontId="40" fillId="59" borderId="12" xfId="81" applyNumberFormat="1" applyFont="1" applyFill="1" applyBorder="1" applyAlignment="1" applyProtection="1">
      <alignment vertical="center" shrinkToFit="1"/>
    </xf>
    <xf numFmtId="164" fontId="40" fillId="59" borderId="13" xfId="81" applyNumberFormat="1" applyFont="1" applyFill="1" applyBorder="1" applyAlignment="1" applyProtection="1">
      <alignment vertical="center" shrinkToFit="1"/>
    </xf>
    <xf numFmtId="164" fontId="44" fillId="56" borderId="12" xfId="81" applyNumberFormat="1" applyFont="1" applyFill="1" applyBorder="1" applyAlignment="1" applyProtection="1">
      <alignment horizontal="center" vertical="center" shrinkToFit="1"/>
    </xf>
    <xf numFmtId="164" fontId="44" fillId="56" borderId="13" xfId="81" applyNumberFormat="1" applyFont="1" applyFill="1" applyBorder="1" applyAlignment="1" applyProtection="1">
      <alignment horizontal="center" vertical="center" shrinkToFit="1"/>
    </xf>
    <xf numFmtId="164" fontId="44" fillId="56" borderId="14" xfId="81" applyNumberFormat="1" applyFont="1" applyFill="1" applyBorder="1" applyAlignment="1" applyProtection="1">
      <alignment horizontal="center" vertical="center" shrinkToFit="1"/>
    </xf>
    <xf numFmtId="164" fontId="44" fillId="56" borderId="14" xfId="81" applyNumberFormat="1" applyFont="1" applyFill="1" applyBorder="1" applyAlignment="1" applyProtection="1">
      <alignment vertical="center" shrinkToFit="1"/>
    </xf>
    <xf numFmtId="0" fontId="93" fillId="0" borderId="11" xfId="0" quotePrefix="1" applyFont="1" applyBorder="1" applyAlignment="1" applyProtection="1">
      <alignment horizontal="left" vertical="center"/>
    </xf>
    <xf numFmtId="164" fontId="40" fillId="56" borderId="12" xfId="81" applyNumberFormat="1" applyFont="1" applyFill="1" applyBorder="1" applyAlignment="1" applyProtection="1">
      <alignment horizontal="center" vertical="center" shrinkToFit="1"/>
    </xf>
    <xf numFmtId="164" fontId="40" fillId="56" borderId="13" xfId="81" applyNumberFormat="1" applyFont="1" applyFill="1" applyBorder="1" applyAlignment="1" applyProtection="1">
      <alignment horizontal="center" vertical="center" shrinkToFit="1"/>
    </xf>
    <xf numFmtId="164" fontId="40" fillId="56" borderId="14" xfId="81" applyNumberFormat="1" applyFont="1" applyFill="1" applyBorder="1" applyAlignment="1" applyProtection="1">
      <alignment horizontal="center" vertical="center" shrinkToFit="1"/>
    </xf>
    <xf numFmtId="10" fontId="44" fillId="59" borderId="12" xfId="81" applyNumberFormat="1" applyFont="1" applyFill="1" applyBorder="1" applyAlignment="1" applyProtection="1">
      <alignment vertical="center" shrinkToFit="1"/>
    </xf>
    <xf numFmtId="10" fontId="44" fillId="59" borderId="13" xfId="81" applyNumberFormat="1" applyFont="1" applyFill="1" applyBorder="1" applyAlignment="1" applyProtection="1">
      <alignment vertical="center" shrinkToFit="1"/>
    </xf>
    <xf numFmtId="10" fontId="44" fillId="59" borderId="14" xfId="81" applyNumberFormat="1" applyFont="1" applyFill="1" applyBorder="1" applyAlignment="1" applyProtection="1">
      <alignment vertical="center" shrinkToFit="1"/>
    </xf>
    <xf numFmtId="164" fontId="44" fillId="59" borderId="12" xfId="81" applyNumberFormat="1" applyFont="1" applyFill="1" applyBorder="1" applyAlignment="1" applyProtection="1">
      <alignment horizontal="center" vertical="center" shrinkToFit="1"/>
    </xf>
    <xf numFmtId="164" fontId="44" fillId="59" borderId="13" xfId="81" applyNumberFormat="1" applyFont="1" applyFill="1" applyBorder="1" applyAlignment="1" applyProtection="1">
      <alignment horizontal="center" vertical="center" shrinkToFit="1"/>
    </xf>
    <xf numFmtId="164" fontId="44" fillId="59" borderId="14" xfId="81" applyNumberFormat="1" applyFont="1" applyFill="1" applyBorder="1" applyAlignment="1" applyProtection="1">
      <alignment horizontal="center" vertical="center" shrinkToFit="1"/>
    </xf>
    <xf numFmtId="0" fontId="94" fillId="0" borderId="22" xfId="0" applyFont="1" applyBorder="1" applyAlignment="1" applyProtection="1">
      <alignment horizontal="left" vertical="center"/>
    </xf>
    <xf numFmtId="0" fontId="94" fillId="0" borderId="20" xfId="0" applyFont="1" applyBorder="1" applyAlignment="1" applyProtection="1">
      <alignment horizontal="left" vertical="center"/>
    </xf>
    <xf numFmtId="164" fontId="40" fillId="56" borderId="30" xfId="81" applyNumberFormat="1" applyFont="1" applyFill="1" applyBorder="1" applyAlignment="1" applyProtection="1">
      <alignment horizontal="center" vertical="center" shrinkToFit="1"/>
    </xf>
    <xf numFmtId="164" fontId="40" fillId="56" borderId="20" xfId="81" applyNumberFormat="1" applyFont="1" applyFill="1" applyBorder="1" applyAlignment="1" applyProtection="1">
      <alignment horizontal="center" vertical="center" shrinkToFit="1"/>
    </xf>
    <xf numFmtId="164" fontId="40" fillId="56" borderId="21" xfId="81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right"/>
    </xf>
    <xf numFmtId="0" fontId="46" fillId="61" borderId="0" xfId="0" applyNumberFormat="1" applyFont="1" applyFill="1" applyAlignment="1" applyProtection="1">
      <alignment horizontal="center" vertical="center"/>
      <protection locked="0"/>
    </xf>
    <xf numFmtId="10" fontId="3" fillId="0" borderId="12" xfId="89" applyNumberFormat="1" applyFont="1" applyFill="1" applyBorder="1" applyAlignment="1">
      <alignment vertical="center" shrinkToFit="1"/>
    </xf>
    <xf numFmtId="10" fontId="3" fillId="0" borderId="13" xfId="89" applyNumberFormat="1" applyFont="1" applyFill="1" applyBorder="1" applyAlignment="1">
      <alignment vertical="center" shrinkToFit="1"/>
    </xf>
    <xf numFmtId="10" fontId="3" fillId="0" borderId="14" xfId="89" applyNumberFormat="1" applyFont="1" applyFill="1" applyBorder="1" applyAlignment="1">
      <alignment vertical="center" shrinkToFit="1"/>
    </xf>
    <xf numFmtId="10" fontId="3" fillId="0" borderId="30" xfId="89" applyNumberFormat="1" applyFont="1" applyFill="1" applyBorder="1" applyAlignment="1">
      <alignment vertical="center" shrinkToFit="1"/>
    </xf>
    <xf numFmtId="10" fontId="3" fillId="0" borderId="20" xfId="89" applyNumberFormat="1" applyFont="1" applyFill="1" applyBorder="1" applyAlignment="1">
      <alignment vertical="center" shrinkToFit="1"/>
    </xf>
    <xf numFmtId="10" fontId="3" fillId="0" borderId="21" xfId="89" applyNumberFormat="1" applyFont="1" applyFill="1" applyBorder="1" applyAlignment="1">
      <alignment vertical="center" shrinkToFit="1"/>
    </xf>
    <xf numFmtId="10" fontId="44" fillId="59" borderId="12" xfId="81" applyNumberFormat="1" applyFont="1" applyFill="1" applyBorder="1" applyAlignment="1" applyProtection="1">
      <alignment horizontal="center" vertical="center" shrinkToFit="1"/>
    </xf>
    <xf numFmtId="10" fontId="44" fillId="59" borderId="13" xfId="81" applyNumberFormat="1" applyFont="1" applyFill="1" applyBorder="1" applyAlignment="1" applyProtection="1">
      <alignment horizontal="center" vertical="center" shrinkToFit="1"/>
    </xf>
    <xf numFmtId="10" fontId="44" fillId="59" borderId="14" xfId="81" applyNumberFormat="1" applyFont="1" applyFill="1" applyBorder="1" applyAlignment="1" applyProtection="1">
      <alignment horizontal="center" vertical="center" shrinkToFit="1"/>
    </xf>
    <xf numFmtId="10" fontId="44" fillId="59" borderId="30" xfId="81" applyNumberFormat="1" applyFont="1" applyFill="1" applyBorder="1" applyAlignment="1" applyProtection="1">
      <alignment horizontal="center" vertical="center" shrinkToFit="1"/>
    </xf>
    <xf numFmtId="10" fontId="44" fillId="59" borderId="20" xfId="81" applyNumberFormat="1" applyFont="1" applyFill="1" applyBorder="1" applyAlignment="1" applyProtection="1">
      <alignment horizontal="center" vertical="center" shrinkToFit="1"/>
    </xf>
    <xf numFmtId="10" fontId="44" fillId="59" borderId="21" xfId="81" applyNumberFormat="1" applyFont="1" applyFill="1" applyBorder="1" applyAlignment="1" applyProtection="1">
      <alignment horizontal="center" vertical="center" shrinkToFit="1"/>
    </xf>
    <xf numFmtId="164" fontId="3" fillId="0" borderId="12" xfId="81" applyNumberFormat="1" applyFont="1" applyFill="1" applyBorder="1" applyAlignment="1">
      <alignment horizontal="center" vertical="center" shrinkToFit="1"/>
    </xf>
    <xf numFmtId="164" fontId="3" fillId="0" borderId="13" xfId="81" applyNumberFormat="1" applyFont="1" applyFill="1" applyBorder="1" applyAlignment="1">
      <alignment horizontal="center" vertical="center" shrinkToFit="1"/>
    </xf>
    <xf numFmtId="164" fontId="3" fillId="0" borderId="14" xfId="81" applyNumberFormat="1" applyFont="1" applyFill="1" applyBorder="1" applyAlignment="1">
      <alignment horizontal="center" vertical="center" shrinkToFit="1"/>
    </xf>
    <xf numFmtId="0" fontId="93" fillId="0" borderId="13" xfId="84" applyFont="1" applyBorder="1" applyAlignment="1" applyProtection="1">
      <alignment horizontal="center" vertical="center"/>
    </xf>
    <xf numFmtId="164" fontId="94" fillId="61" borderId="13" xfId="84" applyNumberFormat="1" applyFont="1" applyFill="1" applyBorder="1" applyAlignment="1" applyProtection="1">
      <alignment vertical="center"/>
      <protection locked="0"/>
    </xf>
    <xf numFmtId="0" fontId="94" fillId="0" borderId="14" xfId="0" applyFont="1" applyFill="1" applyBorder="1" applyAlignment="1" applyProtection="1">
      <alignment horizontal="left" vertical="center" wrapText="1" indent="2"/>
    </xf>
    <xf numFmtId="0" fontId="94" fillId="0" borderId="14" xfId="0" applyFont="1" applyFill="1" applyBorder="1" applyAlignment="1" applyProtection="1">
      <alignment horizontal="left" vertical="center" wrapText="1" indent="4"/>
    </xf>
    <xf numFmtId="0" fontId="93" fillId="0" borderId="14" xfId="0" applyFont="1" applyFill="1" applyBorder="1" applyAlignment="1" applyProtection="1">
      <alignment vertical="center" wrapText="1"/>
    </xf>
    <xf numFmtId="0" fontId="94" fillId="61" borderId="14" xfId="0" applyFont="1" applyFill="1" applyBorder="1" applyAlignment="1" applyProtection="1">
      <alignment horizontal="left" vertical="center" wrapText="1" indent="4"/>
    </xf>
    <xf numFmtId="0" fontId="94" fillId="61" borderId="14" xfId="0" applyFont="1" applyFill="1" applyBorder="1" applyAlignment="1" applyProtection="1">
      <alignment horizontal="left" vertical="center" wrapText="1" indent="2"/>
    </xf>
    <xf numFmtId="0" fontId="93" fillId="61" borderId="24" xfId="0" applyFont="1" applyFill="1" applyBorder="1" applyAlignment="1" applyProtection="1">
      <alignment vertical="center" wrapText="1"/>
    </xf>
    <xf numFmtId="0" fontId="94" fillId="61" borderId="11" xfId="0" applyFont="1" applyFill="1" applyBorder="1" applyAlignment="1" applyProtection="1">
      <alignment horizontal="left" vertical="center"/>
    </xf>
    <xf numFmtId="0" fontId="94" fillId="61" borderId="13" xfId="0" applyFont="1" applyFill="1" applyBorder="1" applyAlignment="1" applyProtection="1">
      <alignment horizontal="left" vertical="center"/>
    </xf>
    <xf numFmtId="0" fontId="93" fillId="61" borderId="14" xfId="0" applyFont="1" applyFill="1" applyBorder="1" applyAlignment="1" applyProtection="1">
      <alignment horizontal="left" vertical="center" wrapText="1" indent="2"/>
    </xf>
    <xf numFmtId="0" fontId="93" fillId="61" borderId="14" xfId="0" applyFont="1" applyFill="1" applyBorder="1" applyAlignment="1" applyProtection="1">
      <alignment vertical="center" wrapText="1"/>
    </xf>
    <xf numFmtId="0" fontId="95" fillId="0" borderId="0" xfId="0" applyFont="1" applyAlignment="1">
      <alignment horizontal="left" vertical="center" wrapText="1"/>
    </xf>
    <xf numFmtId="0" fontId="11" fillId="0" borderId="0" xfId="0" applyFont="1"/>
    <xf numFmtId="0" fontId="95" fillId="0" borderId="0" xfId="0" applyFont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14" fontId="95" fillId="0" borderId="0" xfId="0" applyNumberFormat="1" applyFont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4" fillId="0" borderId="21" xfId="0" applyFont="1" applyBorder="1" applyAlignment="1" applyProtection="1">
      <alignment horizontal="left" vertical="center" wrapText="1" indent="1"/>
    </xf>
    <xf numFmtId="0" fontId="94" fillId="0" borderId="14" xfId="0" quotePrefix="1" applyFont="1" applyFill="1" applyBorder="1" applyAlignment="1" applyProtection="1">
      <alignment horizontal="left" vertical="center" wrapText="1" indent="1"/>
    </xf>
    <xf numFmtId="0" fontId="94" fillId="0" borderId="14" xfId="0" applyFont="1" applyFill="1" applyBorder="1" applyAlignment="1" applyProtection="1">
      <alignment horizontal="left" vertical="center" wrapText="1" indent="1"/>
    </xf>
    <xf numFmtId="0" fontId="94" fillId="61" borderId="14" xfId="0" applyFont="1" applyFill="1" applyBorder="1" applyAlignment="1" applyProtection="1">
      <alignment horizontal="left" vertical="center" wrapText="1" indent="3"/>
    </xf>
    <xf numFmtId="0" fontId="94" fillId="0" borderId="14" xfId="0" applyFont="1" applyFill="1" applyBorder="1" applyAlignment="1" applyProtection="1">
      <alignment horizontal="left" vertical="center" wrapText="1" indent="3"/>
    </xf>
    <xf numFmtId="0" fontId="94" fillId="61" borderId="14" xfId="0" applyFont="1" applyFill="1" applyBorder="1" applyAlignment="1" applyProtection="1">
      <alignment horizontal="left" vertical="center" wrapText="1" indent="1"/>
    </xf>
    <xf numFmtId="0" fontId="97" fillId="0" borderId="36" xfId="8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82" fillId="0" borderId="0" xfId="0" applyFont="1" applyAlignment="1" applyProtection="1">
      <alignment horizontal="left" vertical="center"/>
    </xf>
    <xf numFmtId="0" fontId="38" fillId="62" borderId="37" xfId="0" applyFont="1" applyFill="1" applyBorder="1" applyAlignment="1">
      <alignment horizontal="left" vertical="center" wrapText="1"/>
    </xf>
    <xf numFmtId="0" fontId="90" fillId="0" borderId="36" xfId="84" applyFont="1" applyBorder="1" applyAlignment="1">
      <alignment vertical="center"/>
    </xf>
    <xf numFmtId="0" fontId="32" fillId="56" borderId="13" xfId="0" applyFont="1" applyFill="1" applyBorder="1" applyAlignment="1">
      <alignment horizontal="center" vertical="center" wrapText="1"/>
    </xf>
    <xf numFmtId="0" fontId="51" fillId="62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8" fillId="57" borderId="37" xfId="0" applyFont="1" applyFill="1" applyBorder="1" applyAlignment="1">
      <alignment horizontal="left" vertical="center" wrapText="1"/>
    </xf>
    <xf numFmtId="0" fontId="0" fillId="0" borderId="0" xfId="0"/>
    <xf numFmtId="0" fontId="81" fillId="0" borderId="0" xfId="0" applyFont="1"/>
    <xf numFmtId="0" fontId="38" fillId="63" borderId="37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left"/>
    </xf>
    <xf numFmtId="164" fontId="44" fillId="60" borderId="14" xfId="81" applyNumberFormat="1" applyFont="1" applyFill="1" applyBorder="1" applyAlignment="1" applyProtection="1">
      <alignment vertical="center" shrinkToFit="1"/>
    </xf>
    <xf numFmtId="164" fontId="44" fillId="61" borderId="12" xfId="81" applyNumberFormat="1" applyFont="1" applyFill="1" applyBorder="1" applyAlignment="1" applyProtection="1">
      <alignment vertical="center" shrinkToFit="1"/>
    </xf>
    <xf numFmtId="164" fontId="44" fillId="61" borderId="13" xfId="81" applyNumberFormat="1" applyFont="1" applyFill="1" applyBorder="1" applyAlignment="1" applyProtection="1">
      <alignment vertical="center" shrinkToFit="1"/>
    </xf>
    <xf numFmtId="164" fontId="44" fillId="61" borderId="14" xfId="81" applyNumberFormat="1" applyFont="1" applyFill="1" applyBorder="1" applyAlignment="1" applyProtection="1">
      <alignment vertical="center" shrinkToFit="1"/>
    </xf>
    <xf numFmtId="164" fontId="40" fillId="60" borderId="14" xfId="81" applyNumberFormat="1" applyFont="1" applyFill="1" applyBorder="1" applyAlignment="1" applyProtection="1">
      <alignment vertical="center" shrinkToFit="1"/>
    </xf>
    <xf numFmtId="0" fontId="94" fillId="0" borderId="0" xfId="84" applyFont="1" applyAlignment="1" applyProtection="1">
      <alignment vertical="center" wrapText="1"/>
      <protection locked="0"/>
    </xf>
    <xf numFmtId="164" fontId="94" fillId="0" borderId="0" xfId="84" applyNumberFormat="1" applyFont="1" applyAlignment="1" applyProtection="1">
      <alignment vertical="center" wrapText="1"/>
      <protection locked="0"/>
    </xf>
    <xf numFmtId="0" fontId="98" fillId="0" borderId="0" xfId="84" applyFont="1" applyAlignment="1" applyProtection="1">
      <alignment vertical="center" wrapText="1"/>
    </xf>
    <xf numFmtId="0" fontId="94" fillId="0" borderId="0" xfId="84" applyFont="1" applyAlignment="1" applyProtection="1">
      <alignment vertical="center"/>
    </xf>
    <xf numFmtId="0" fontId="93" fillId="0" borderId="0" xfId="84" applyFont="1" applyAlignment="1" applyProtection="1">
      <alignment horizontal="center" vertical="center" wrapText="1"/>
    </xf>
    <xf numFmtId="0" fontId="93" fillId="0" borderId="13" xfId="84" applyFont="1" applyBorder="1" applyAlignment="1" applyProtection="1">
      <alignment horizontal="center" vertical="center" wrapText="1"/>
    </xf>
    <xf numFmtId="0" fontId="99" fillId="0" borderId="13" xfId="84" applyFont="1" applyBorder="1" applyAlignment="1" applyProtection="1">
      <alignment horizontal="left" vertical="center" wrapText="1"/>
    </xf>
    <xf numFmtId="0" fontId="94" fillId="0" borderId="13" xfId="84" applyFont="1" applyBorder="1" applyAlignment="1" applyProtection="1">
      <alignment vertical="center"/>
    </xf>
    <xf numFmtId="164" fontId="93" fillId="61" borderId="13" xfId="84" applyNumberFormat="1" applyFont="1" applyFill="1" applyBorder="1" applyAlignment="1" applyProtection="1">
      <alignment vertical="center"/>
    </xf>
    <xf numFmtId="0" fontId="94" fillId="0" borderId="13" xfId="84" applyFont="1" applyBorder="1" applyAlignment="1" applyProtection="1">
      <alignment horizontal="left" vertical="center" wrapText="1" indent="1"/>
    </xf>
    <xf numFmtId="164" fontId="94" fillId="64" borderId="38" xfId="84" applyNumberFormat="1" applyFont="1" applyFill="1" applyBorder="1" applyAlignment="1" applyProtection="1">
      <alignment vertical="center"/>
    </xf>
    <xf numFmtId="0" fontId="93" fillId="0" borderId="13" xfId="84" applyFont="1" applyBorder="1" applyAlignment="1" applyProtection="1">
      <alignment horizontal="left" vertical="center" wrapText="1" indent="1"/>
    </xf>
    <xf numFmtId="0" fontId="94" fillId="0" borderId="13" xfId="84" applyFont="1" applyBorder="1" applyAlignment="1" applyProtection="1">
      <alignment horizontal="left" vertical="center" wrapText="1" indent="2"/>
    </xf>
    <xf numFmtId="0" fontId="94" fillId="0" borderId="0" xfId="84" applyFont="1" applyBorder="1" applyAlignment="1" applyProtection="1">
      <alignment horizontal="left" vertical="center" wrapText="1" indent="2"/>
    </xf>
    <xf numFmtId="0" fontId="94" fillId="0" borderId="0" xfId="84" applyFont="1" applyAlignment="1" applyProtection="1">
      <alignment vertical="center" wrapText="1"/>
    </xf>
    <xf numFmtId="0" fontId="93" fillId="0" borderId="0" xfId="84" applyFont="1" applyAlignment="1" applyProtection="1">
      <alignment horizontal="right" vertical="center"/>
    </xf>
    <xf numFmtId="0" fontId="94" fillId="0" borderId="10" xfId="84" applyFont="1" applyBorder="1" applyAlignment="1" applyProtection="1">
      <alignment vertical="center"/>
    </xf>
    <xf numFmtId="0" fontId="93" fillId="0" borderId="10" xfId="84" applyFont="1" applyBorder="1" applyAlignment="1" applyProtection="1">
      <alignment vertical="center" wrapText="1"/>
    </xf>
    <xf numFmtId="0" fontId="94" fillId="0" borderId="10" xfId="84" applyFont="1" applyBorder="1" applyAlignment="1" applyProtection="1">
      <alignment vertical="center" wrapText="1"/>
    </xf>
    <xf numFmtId="164" fontId="94" fillId="0" borderId="0" xfId="84" applyNumberFormat="1" applyFont="1" applyAlignment="1" applyProtection="1">
      <alignment vertical="center"/>
      <protection locked="0"/>
    </xf>
    <xf numFmtId="0" fontId="95" fillId="0" borderId="0" xfId="0" applyFont="1" applyAlignment="1">
      <alignment wrapText="1"/>
    </xf>
    <xf numFmtId="0" fontId="94" fillId="0" borderId="13" xfId="84" applyFont="1" applyFill="1" applyBorder="1" applyAlignment="1" applyProtection="1">
      <alignment horizontal="left" vertical="center" wrapText="1" indent="1"/>
    </xf>
    <xf numFmtId="0" fontId="93" fillId="0" borderId="13" xfId="84" applyFont="1" applyFill="1" applyBorder="1" applyAlignment="1" applyProtection="1">
      <alignment horizontal="left" vertical="center" wrapText="1" indent="1"/>
    </xf>
    <xf numFmtId="0" fontId="94" fillId="0" borderId="13" xfId="84" applyFont="1" applyFill="1" applyBorder="1" applyAlignment="1" applyProtection="1">
      <alignment horizontal="left" vertical="center" wrapText="1" indent="2"/>
    </xf>
    <xf numFmtId="0" fontId="94" fillId="0" borderId="0" xfId="84" applyFont="1" applyFill="1" applyBorder="1" applyAlignment="1" applyProtection="1">
      <alignment horizontal="left" vertical="center" wrapText="1" indent="2"/>
    </xf>
    <xf numFmtId="0" fontId="39" fillId="56" borderId="0" xfId="0" applyFont="1" applyFill="1" applyAlignment="1" applyProtection="1">
      <alignment vertical="center"/>
    </xf>
    <xf numFmtId="0" fontId="39" fillId="59" borderId="0" xfId="0" applyFont="1" applyFill="1" applyAlignment="1" applyProtection="1">
      <alignment vertical="center"/>
    </xf>
    <xf numFmtId="0" fontId="39" fillId="60" borderId="0" xfId="0" applyFont="1" applyFill="1" applyAlignment="1" applyProtection="1">
      <alignment vertical="center"/>
    </xf>
    <xf numFmtId="0" fontId="39" fillId="61" borderId="0" xfId="0" applyFont="1" applyFill="1" applyAlignment="1" applyProtection="1">
      <alignment vertical="center"/>
    </xf>
    <xf numFmtId="164" fontId="93" fillId="0" borderId="13" xfId="84" applyNumberFormat="1" applyFont="1" applyFill="1" applyBorder="1" applyAlignment="1" applyProtection="1">
      <alignment vertical="center"/>
    </xf>
    <xf numFmtId="0" fontId="44" fillId="0" borderId="39" xfId="0" applyFont="1" applyBorder="1"/>
    <xf numFmtId="10" fontId="3" fillId="0" borderId="40" xfId="0" applyNumberFormat="1" applyFont="1" applyBorder="1" applyAlignment="1">
      <alignment vertical="center"/>
    </xf>
    <xf numFmtId="10" fontId="3" fillId="0" borderId="41" xfId="0" applyNumberFormat="1" applyFont="1" applyBorder="1" applyAlignment="1">
      <alignment vertical="center"/>
    </xf>
    <xf numFmtId="10" fontId="3" fillId="0" borderId="42" xfId="0" applyNumberFormat="1" applyFont="1" applyBorder="1" applyAlignment="1">
      <alignment vertical="center"/>
    </xf>
    <xf numFmtId="0" fontId="44" fillId="0" borderId="43" xfId="0" applyFont="1" applyBorder="1"/>
    <xf numFmtId="10" fontId="3" fillId="0" borderId="29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0" fontId="44" fillId="0" borderId="44" xfId="0" applyFont="1" applyBorder="1"/>
    <xf numFmtId="10" fontId="3" fillId="0" borderId="30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10" fontId="3" fillId="0" borderId="21" xfId="0" applyNumberFormat="1" applyFont="1" applyBorder="1" applyAlignment="1">
      <alignment vertical="center"/>
    </xf>
    <xf numFmtId="1" fontId="83" fillId="0" borderId="0" xfId="0" applyNumberFormat="1" applyFont="1" applyAlignment="1">
      <alignment horizontal="center" vertical="center"/>
    </xf>
    <xf numFmtId="0" fontId="83" fillId="0" borderId="0" xfId="0" applyFont="1"/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right" indent="1"/>
    </xf>
    <xf numFmtId="0" fontId="100" fillId="0" borderId="0" xfId="0" applyFont="1" applyAlignment="1" applyProtection="1">
      <alignment horizontal="left" indent="1"/>
      <protection locked="0"/>
    </xf>
    <xf numFmtId="0" fontId="94" fillId="0" borderId="0" xfId="84" applyFont="1" applyBorder="1" applyAlignment="1" applyProtection="1">
      <alignment vertical="center"/>
    </xf>
    <xf numFmtId="0" fontId="94" fillId="65" borderId="13" xfId="84" applyFont="1" applyFill="1" applyBorder="1" applyAlignment="1" applyProtection="1">
      <alignment horizontal="left" vertical="center" wrapText="1" indent="2"/>
    </xf>
    <xf numFmtId="0" fontId="94" fillId="65" borderId="13" xfId="84" applyFont="1" applyFill="1" applyBorder="1" applyAlignment="1" applyProtection="1">
      <alignment horizontal="left" vertical="center" wrapText="1" indent="1"/>
    </xf>
    <xf numFmtId="0" fontId="10" fillId="0" borderId="0" xfId="0" applyFont="1"/>
    <xf numFmtId="165" fontId="9" fillId="66" borderId="0" xfId="91" applyNumberFormat="1" applyFont="1" applyFill="1" applyAlignment="1">
      <alignment vertical="center"/>
    </xf>
    <xf numFmtId="165" fontId="9" fillId="0" borderId="0" xfId="91" applyNumberFormat="1" applyFont="1" applyFill="1" applyAlignment="1">
      <alignment vertical="center"/>
    </xf>
    <xf numFmtId="165" fontId="9" fillId="62" borderId="0" xfId="91" applyNumberFormat="1" applyFont="1" applyFill="1" applyAlignment="1">
      <alignment vertical="center"/>
    </xf>
    <xf numFmtId="165" fontId="9" fillId="57" borderId="0" xfId="91" applyNumberFormat="1" applyFont="1" applyFill="1" applyAlignment="1">
      <alignment vertical="center"/>
    </xf>
    <xf numFmtId="0" fontId="38" fillId="0" borderId="39" xfId="0" applyFont="1" applyBorder="1" applyAlignment="1">
      <alignment wrapText="1"/>
    </xf>
    <xf numFmtId="0" fontId="101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101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67" borderId="0" xfId="0" applyFont="1" applyFill="1" applyAlignment="1" applyProtection="1">
      <alignment horizontal="left" vertical="center" wrapText="1"/>
      <protection locked="0"/>
    </xf>
    <xf numFmtId="0" fontId="32" fillId="62" borderId="0" xfId="0" applyFont="1" applyFill="1" applyAlignment="1" applyProtection="1">
      <alignment horizontal="left" vertical="center" wrapText="1"/>
      <protection locked="0"/>
    </xf>
    <xf numFmtId="0" fontId="32" fillId="57" borderId="0" xfId="0" applyFont="1" applyFill="1" applyAlignment="1" applyProtection="1">
      <alignment horizontal="left" vertical="center" wrapText="1"/>
      <protection locked="0"/>
    </xf>
    <xf numFmtId="0" fontId="32" fillId="63" borderId="0" xfId="0" applyFont="1" applyFill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9" fillId="67" borderId="45" xfId="0" applyFont="1" applyFill="1" applyBorder="1" applyAlignment="1">
      <alignment horizontal="left" vertical="center" wrapText="1"/>
    </xf>
    <xf numFmtId="0" fontId="32" fillId="56" borderId="46" xfId="0" applyFont="1" applyFill="1" applyBorder="1" applyAlignment="1">
      <alignment horizontal="center" vertical="center" wrapText="1"/>
    </xf>
    <xf numFmtId="0" fontId="32" fillId="56" borderId="1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32" fillId="56" borderId="11" xfId="0" applyFont="1" applyFill="1" applyBorder="1" applyAlignment="1">
      <alignment horizontal="center" vertical="center" wrapText="1"/>
    </xf>
    <xf numFmtId="0" fontId="32" fillId="56" borderId="14" xfId="0" applyFont="1" applyFill="1" applyBorder="1" applyAlignment="1">
      <alignment horizontal="center" vertical="center" wrapText="1"/>
    </xf>
    <xf numFmtId="164" fontId="83" fillId="0" borderId="12" xfId="0" applyNumberFormat="1" applyFont="1" applyBorder="1" applyAlignment="1">
      <alignment horizontal="center" vertical="center"/>
    </xf>
    <xf numFmtId="164" fontId="83" fillId="0" borderId="13" xfId="0" applyNumberFormat="1" applyFont="1" applyBorder="1" applyAlignment="1">
      <alignment horizontal="center" vertical="center"/>
    </xf>
    <xf numFmtId="164" fontId="83" fillId="0" borderId="14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5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90" fillId="0" borderId="47" xfId="84" applyFont="1" applyBorder="1" applyAlignment="1">
      <alignment vertical="center"/>
    </xf>
    <xf numFmtId="0" fontId="38" fillId="0" borderId="48" xfId="84" applyFont="1" applyBorder="1" applyAlignment="1">
      <alignment vertical="center"/>
    </xf>
    <xf numFmtId="0" fontId="32" fillId="56" borderId="22" xfId="0" applyFont="1" applyFill="1" applyBorder="1" applyAlignment="1">
      <alignment horizontal="center" vertical="center" wrapText="1"/>
    </xf>
    <xf numFmtId="0" fontId="32" fillId="56" borderId="2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93" fillId="0" borderId="46" xfId="0" applyFont="1" applyBorder="1" applyAlignment="1">
      <alignment vertical="center" wrapText="1"/>
    </xf>
    <xf numFmtId="164" fontId="47" fillId="0" borderId="16" xfId="0" applyNumberFormat="1" applyFont="1" applyBorder="1" applyAlignment="1" applyProtection="1">
      <alignment vertical="center"/>
      <protection locked="0"/>
    </xf>
    <xf numFmtId="164" fontId="47" fillId="0" borderId="17" xfId="0" applyNumberFormat="1" applyFont="1" applyBorder="1" applyAlignment="1" applyProtection="1">
      <alignment vertical="center"/>
      <protection locked="0"/>
    </xf>
    <xf numFmtId="0" fontId="94" fillId="0" borderId="11" xfId="0" applyFont="1" applyBorder="1" applyAlignment="1">
      <alignment horizontal="left" vertical="center" wrapText="1" indent="1"/>
    </xf>
    <xf numFmtId="164" fontId="8" fillId="0" borderId="13" xfId="0" applyNumberFormat="1" applyFont="1" applyBorder="1" applyAlignment="1" applyProtection="1">
      <alignment vertical="center"/>
      <protection locked="0"/>
    </xf>
    <xf numFmtId="164" fontId="8" fillId="0" borderId="14" xfId="0" applyNumberFormat="1" applyFont="1" applyBorder="1" applyAlignment="1" applyProtection="1">
      <alignment vertical="center"/>
      <protection locked="0"/>
    </xf>
    <xf numFmtId="0" fontId="94" fillId="0" borderId="11" xfId="0" quotePrefix="1" applyFont="1" applyBorder="1" applyAlignment="1">
      <alignment horizontal="left" vertical="center" wrapText="1" indent="1"/>
    </xf>
    <xf numFmtId="0" fontId="102" fillId="0" borderId="11" xfId="0" quotePrefix="1" applyFont="1" applyBorder="1" applyAlignment="1">
      <alignment horizontal="left" vertical="center" wrapText="1" indent="1"/>
    </xf>
    <xf numFmtId="0" fontId="93" fillId="0" borderId="11" xfId="0" quotePrefix="1" applyFont="1" applyBorder="1" applyAlignment="1">
      <alignment horizontal="left" vertical="center" wrapText="1"/>
    </xf>
    <xf numFmtId="164" fontId="47" fillId="0" borderId="13" xfId="0" applyNumberFormat="1" applyFont="1" applyBorder="1" applyAlignment="1" applyProtection="1">
      <alignment vertical="center"/>
      <protection locked="0"/>
    </xf>
    <xf numFmtId="164" fontId="47" fillId="0" borderId="14" xfId="0" applyNumberFormat="1" applyFont="1" applyBorder="1" applyAlignment="1" applyProtection="1">
      <alignment vertical="center"/>
      <protection locked="0"/>
    </xf>
    <xf numFmtId="164" fontId="29" fillId="0" borderId="13" xfId="0" applyNumberFormat="1" applyFont="1" applyBorder="1" applyAlignment="1" applyProtection="1">
      <alignment vertical="center"/>
      <protection locked="0"/>
    </xf>
    <xf numFmtId="164" fontId="29" fillId="0" borderId="14" xfId="0" applyNumberFormat="1" applyFont="1" applyBorder="1" applyAlignment="1" applyProtection="1">
      <alignment vertical="center"/>
      <protection locked="0"/>
    </xf>
    <xf numFmtId="0" fontId="93" fillId="0" borderId="22" xfId="0" quotePrefix="1" applyFont="1" applyBorder="1" applyAlignment="1">
      <alignment vertical="center" wrapText="1"/>
    </xf>
    <xf numFmtId="164" fontId="47" fillId="0" borderId="20" xfId="0" applyNumberFormat="1" applyFont="1" applyBorder="1" applyAlignment="1" applyProtection="1">
      <alignment vertical="center"/>
      <protection locked="0"/>
    </xf>
    <xf numFmtId="164" fontId="47" fillId="0" borderId="21" xfId="0" applyNumberFormat="1" applyFont="1" applyBorder="1" applyAlignment="1" applyProtection="1">
      <alignment vertical="center"/>
      <protection locked="0"/>
    </xf>
    <xf numFmtId="0" fontId="93" fillId="0" borderId="0" xfId="0" quotePrefix="1" applyFont="1" applyAlignment="1">
      <alignment vertical="center" wrapText="1"/>
    </xf>
    <xf numFmtId="164" fontId="47" fillId="0" borderId="41" xfId="0" applyNumberFormat="1" applyFont="1" applyBorder="1" applyAlignment="1" applyProtection="1">
      <alignment vertical="center"/>
      <protection locked="0"/>
    </xf>
    <xf numFmtId="164" fontId="47" fillId="0" borderId="49" xfId="0" applyNumberFormat="1" applyFont="1" applyBorder="1" applyAlignment="1" applyProtection="1">
      <alignment vertical="center"/>
      <protection locked="0"/>
    </xf>
    <xf numFmtId="0" fontId="9" fillId="0" borderId="0" xfId="71" applyFont="1"/>
    <xf numFmtId="0" fontId="57" fillId="0" borderId="46" xfId="71" applyFont="1" applyBorder="1" applyAlignment="1">
      <alignment horizontal="left" vertical="center" indent="1"/>
    </xf>
    <xf numFmtId="164" fontId="29" fillId="0" borderId="16" xfId="0" applyNumberFormat="1" applyFont="1" applyBorder="1" applyAlignment="1" applyProtection="1">
      <alignment vertical="center"/>
      <protection locked="0"/>
    </xf>
    <xf numFmtId="164" fontId="29" fillId="0" borderId="17" xfId="0" applyNumberFormat="1" applyFont="1" applyBorder="1" applyAlignment="1" applyProtection="1">
      <alignment vertical="center"/>
      <protection locked="0"/>
    </xf>
    <xf numFmtId="0" fontId="57" fillId="0" borderId="11" xfId="71" applyFont="1" applyBorder="1" applyAlignment="1">
      <alignment horizontal="left" vertical="center" indent="1"/>
    </xf>
    <xf numFmtId="0" fontId="11" fillId="0" borderId="0" xfId="0" applyFont="1" applyAlignment="1" applyProtection="1">
      <alignment vertical="center"/>
      <protection locked="0"/>
    </xf>
    <xf numFmtId="0" fontId="57" fillId="0" borderId="50" xfId="71" applyFont="1" applyBorder="1" applyAlignment="1">
      <alignment horizontal="left" vertical="center" wrapText="1" indent="1"/>
    </xf>
    <xf numFmtId="164" fontId="29" fillId="0" borderId="51" xfId="0" applyNumberFormat="1" applyFont="1" applyBorder="1" applyAlignment="1" applyProtection="1">
      <alignment vertical="center"/>
      <protection locked="0"/>
    </xf>
    <xf numFmtId="164" fontId="29" fillId="0" borderId="52" xfId="0" applyNumberFormat="1" applyFont="1" applyBorder="1" applyAlignment="1" applyProtection="1">
      <alignment vertical="center"/>
      <protection locked="0"/>
    </xf>
    <xf numFmtId="0" fontId="57" fillId="0" borderId="46" xfId="71" applyFont="1" applyBorder="1" applyAlignment="1">
      <alignment horizontal="left" vertical="center" wrapText="1" indent="1"/>
    </xf>
    <xf numFmtId="0" fontId="57" fillId="0" borderId="22" xfId="71" applyFont="1" applyBorder="1" applyAlignment="1">
      <alignment horizontal="left" vertical="center" wrapText="1" indent="1"/>
    </xf>
    <xf numFmtId="164" fontId="29" fillId="0" borderId="20" xfId="0" applyNumberFormat="1" applyFont="1" applyBorder="1" applyAlignment="1" applyProtection="1">
      <alignment vertical="center"/>
      <protection locked="0"/>
    </xf>
    <xf numFmtId="164" fontId="29" fillId="0" borderId="21" xfId="0" applyNumberFormat="1" applyFont="1" applyBorder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58" fillId="0" borderId="28" xfId="71" applyFont="1" applyBorder="1" applyAlignment="1">
      <alignment horizontal="left" vertical="center" wrapText="1" indent="1"/>
    </xf>
    <xf numFmtId="164" fontId="29" fillId="56" borderId="23" xfId="0" applyNumberFormat="1" applyFont="1" applyFill="1" applyBorder="1" applyAlignment="1" applyProtection="1">
      <alignment horizontal="center" vertical="center"/>
      <protection locked="0"/>
    </xf>
    <xf numFmtId="164" fontId="29" fillId="0" borderId="23" xfId="0" applyNumberFormat="1" applyFont="1" applyBorder="1" applyAlignment="1" applyProtection="1">
      <alignment vertical="center"/>
      <protection locked="0"/>
    </xf>
    <xf numFmtId="164" fontId="29" fillId="0" borderId="24" xfId="0" applyNumberFormat="1" applyFont="1" applyBorder="1" applyAlignment="1" applyProtection="1">
      <alignment vertical="center"/>
      <protection locked="0"/>
    </xf>
    <xf numFmtId="0" fontId="58" fillId="0" borderId="22" xfId="71" applyFont="1" applyBorder="1" applyAlignment="1">
      <alignment horizontal="left" vertical="center" wrapText="1" indent="1"/>
    </xf>
    <xf numFmtId="164" fontId="29" fillId="56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53" xfId="71" applyFont="1" applyBorder="1"/>
    <xf numFmtId="164" fontId="35" fillId="0" borderId="53" xfId="91" applyNumberFormat="1" applyFont="1" applyFill="1" applyBorder="1" applyAlignment="1" applyProtection="1">
      <alignment horizontal="center" vertical="center" wrapText="1"/>
      <protection locked="0"/>
    </xf>
    <xf numFmtId="164" fontId="35" fillId="0" borderId="53" xfId="91" applyNumberFormat="1" applyFont="1" applyFill="1" applyBorder="1" applyAlignment="1" applyProtection="1">
      <alignment vertical="center" wrapText="1"/>
      <protection locked="0"/>
    </xf>
    <xf numFmtId="10" fontId="32" fillId="0" borderId="16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7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3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4" xfId="91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71" applyFont="1" applyBorder="1" applyAlignment="1">
      <alignment horizontal="left" vertical="center" wrapText="1" indent="1"/>
    </xf>
    <xf numFmtId="0" fontId="57" fillId="0" borderId="22" xfId="71" applyFont="1" applyBorder="1" applyAlignment="1">
      <alignment horizontal="left" vertical="center" indent="1"/>
    </xf>
    <xf numFmtId="10" fontId="32" fillId="0" borderId="20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21" xfId="9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164" fontId="29" fillId="56" borderId="16" xfId="0" applyNumberFormat="1" applyFont="1" applyFill="1" applyBorder="1" applyAlignment="1" applyProtection="1">
      <alignment horizontal="center" vertical="center"/>
      <protection locked="0"/>
    </xf>
    <xf numFmtId="164" fontId="29" fillId="0" borderId="16" xfId="0" applyNumberFormat="1" applyFont="1" applyBorder="1"/>
    <xf numFmtId="164" fontId="29" fillId="0" borderId="17" xfId="0" applyNumberFormat="1" applyFont="1" applyBorder="1"/>
    <xf numFmtId="164" fontId="29" fillId="56" borderId="13" xfId="0" applyNumberFormat="1" applyFont="1" applyFill="1" applyBorder="1" applyAlignment="1" applyProtection="1">
      <alignment horizontal="center" vertical="center"/>
      <protection locked="0"/>
    </xf>
    <xf numFmtId="164" fontId="29" fillId="0" borderId="13" xfId="0" applyNumberFormat="1" applyFont="1" applyBorder="1"/>
    <xf numFmtId="164" fontId="29" fillId="0" borderId="14" xfId="0" applyNumberFormat="1" applyFont="1" applyBorder="1"/>
    <xf numFmtId="164" fontId="29" fillId="0" borderId="20" xfId="0" applyNumberFormat="1" applyFont="1" applyBorder="1"/>
    <xf numFmtId="164" fontId="29" fillId="0" borderId="21" xfId="0" applyNumberFormat="1" applyFont="1" applyBorder="1"/>
    <xf numFmtId="166" fontId="32" fillId="0" borderId="20" xfId="91" applyNumberFormat="1" applyFont="1" applyFill="1" applyBorder="1" applyAlignment="1" applyProtection="1">
      <alignment horizontal="center" vertical="center" wrapText="1"/>
      <protection locked="0"/>
    </xf>
    <xf numFmtId="166" fontId="32" fillId="0" borderId="21" xfId="91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Border="1"/>
    <xf numFmtId="0" fontId="8" fillId="0" borderId="16" xfId="0" applyFont="1" applyBorder="1"/>
    <xf numFmtId="164" fontId="8" fillId="0" borderId="16" xfId="0" applyNumberFormat="1" applyFont="1" applyBorder="1"/>
    <xf numFmtId="164" fontId="8" fillId="0" borderId="17" xfId="0" applyNumberFormat="1" applyFont="1" applyBorder="1"/>
    <xf numFmtId="0" fontId="8" fillId="0" borderId="50" xfId="0" applyFont="1" applyBorder="1"/>
    <xf numFmtId="0" fontId="8" fillId="0" borderId="51" xfId="0" applyFont="1" applyBorder="1"/>
    <xf numFmtId="164" fontId="8" fillId="0" borderId="51" xfId="0" applyNumberFormat="1" applyFont="1" applyBorder="1"/>
    <xf numFmtId="164" fontId="8" fillId="0" borderId="52" xfId="0" applyNumberFormat="1" applyFont="1" applyBorder="1"/>
    <xf numFmtId="0" fontId="8" fillId="61" borderId="25" xfId="0" applyFont="1" applyFill="1" applyBorder="1"/>
    <xf numFmtId="0" fontId="8" fillId="61" borderId="26" xfId="0" applyFont="1" applyFill="1" applyBorder="1"/>
    <xf numFmtId="0" fontId="9" fillId="61" borderId="26" xfId="0" applyFont="1" applyFill="1" applyBorder="1"/>
    <xf numFmtId="164" fontId="9" fillId="61" borderId="26" xfId="0" applyNumberFormat="1" applyFont="1" applyFill="1" applyBorder="1"/>
    <xf numFmtId="164" fontId="9" fillId="61" borderId="27" xfId="0" applyNumberFormat="1" applyFont="1" applyFill="1" applyBorder="1"/>
    <xf numFmtId="0" fontId="8" fillId="0" borderId="28" xfId="0" applyFont="1" applyBorder="1"/>
    <xf numFmtId="0" fontId="8" fillId="0" borderId="23" xfId="0" applyFont="1" applyBorder="1"/>
    <xf numFmtId="164" fontId="8" fillId="0" borderId="23" xfId="0" applyNumberFormat="1" applyFont="1" applyBorder="1"/>
    <xf numFmtId="164" fontId="8" fillId="0" borderId="24" xfId="0" applyNumberFormat="1" applyFont="1" applyBorder="1"/>
    <xf numFmtId="0" fontId="8" fillId="0" borderId="11" xfId="0" applyFont="1" applyBorder="1"/>
    <xf numFmtId="0" fontId="8" fillId="0" borderId="13" xfId="0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0" fontId="8" fillId="0" borderId="22" xfId="0" applyFont="1" applyBorder="1"/>
    <xf numFmtId="0" fontId="8" fillId="0" borderId="20" xfId="0" applyFont="1" applyBorder="1"/>
    <xf numFmtId="164" fontId="8" fillId="0" borderId="20" xfId="0" applyNumberFormat="1" applyFont="1" applyBorder="1"/>
    <xf numFmtId="164" fontId="8" fillId="0" borderId="21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9" fillId="0" borderId="26" xfId="0" applyFont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104" fillId="0" borderId="0" xfId="0" applyFont="1"/>
    <xf numFmtId="165" fontId="8" fillId="57" borderId="0" xfId="91" applyNumberFormat="1" applyFont="1" applyFill="1" applyAlignment="1">
      <alignment vertical="center"/>
    </xf>
    <xf numFmtId="165" fontId="8" fillId="62" borderId="0" xfId="91" applyNumberFormat="1" applyFont="1" applyFill="1" applyAlignment="1">
      <alignment vertical="center"/>
    </xf>
    <xf numFmtId="165" fontId="8" fillId="68" borderId="0" xfId="91" applyNumberFormat="1" applyFont="1" applyFill="1" applyAlignment="1">
      <alignment vertical="center"/>
    </xf>
    <xf numFmtId="0" fontId="86" fillId="0" borderId="46" xfId="0" applyFont="1" applyBorder="1" applyAlignment="1">
      <alignment horizontal="left" vertical="center"/>
    </xf>
    <xf numFmtId="0" fontId="91" fillId="0" borderId="16" xfId="0" applyFont="1" applyBorder="1" applyAlignment="1" applyProtection="1">
      <alignment horizontal="left" vertical="center"/>
      <protection locked="0"/>
    </xf>
    <xf numFmtId="0" fontId="86" fillId="0" borderId="1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10" fontId="3" fillId="0" borderId="16" xfId="91" applyNumberFormat="1" applyFont="1" applyBorder="1" applyAlignment="1">
      <alignment vertical="center"/>
    </xf>
    <xf numFmtId="10" fontId="3" fillId="0" borderId="17" xfId="91" applyNumberFormat="1" applyFont="1" applyBorder="1" applyAlignment="1">
      <alignment vertical="center"/>
    </xf>
    <xf numFmtId="0" fontId="91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10" fontId="3" fillId="0" borderId="13" xfId="91" applyNumberFormat="1" applyFont="1" applyBorder="1" applyAlignment="1">
      <alignment vertical="center"/>
    </xf>
    <xf numFmtId="10" fontId="3" fillId="0" borderId="14" xfId="91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1" fillId="0" borderId="14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>
      <alignment horizontal="center" vertical="center"/>
    </xf>
    <xf numFmtId="10" fontId="3" fillId="0" borderId="20" xfId="91" applyNumberFormat="1" applyFont="1" applyBorder="1" applyAlignment="1">
      <alignment vertical="center"/>
    </xf>
    <xf numFmtId="10" fontId="3" fillId="0" borderId="21" xfId="91" applyNumberFormat="1" applyFont="1" applyBorder="1" applyAlignment="1">
      <alignment vertical="center"/>
    </xf>
    <xf numFmtId="0" fontId="91" fillId="0" borderId="14" xfId="0" applyFont="1" applyBorder="1" applyAlignment="1">
      <alignment horizontal="left" vertical="center" wrapText="1" indent="3"/>
    </xf>
    <xf numFmtId="0" fontId="91" fillId="0" borderId="14" xfId="0" quotePrefix="1" applyFont="1" applyBorder="1" applyAlignment="1">
      <alignment horizontal="left" vertical="center" wrapText="1" indent="1"/>
    </xf>
    <xf numFmtId="0" fontId="91" fillId="0" borderId="21" xfId="0" applyFont="1" applyBorder="1" applyAlignment="1">
      <alignment horizontal="left" vertical="center" wrapText="1" indent="1"/>
    </xf>
    <xf numFmtId="164" fontId="44" fillId="59" borderId="12" xfId="81" applyNumberFormat="1" applyFont="1" applyFill="1" applyBorder="1" applyAlignment="1" applyProtection="1">
      <alignment vertical="center" shrinkToFit="1"/>
      <protection locked="0"/>
    </xf>
    <xf numFmtId="164" fontId="44" fillId="59" borderId="13" xfId="81" applyNumberFormat="1" applyFont="1" applyFill="1" applyBorder="1" applyAlignment="1" applyProtection="1">
      <alignment vertical="center" shrinkToFit="1"/>
      <protection locked="0"/>
    </xf>
    <xf numFmtId="164" fontId="44" fillId="59" borderId="14" xfId="81" applyNumberFormat="1" applyFont="1" applyFill="1" applyBorder="1" applyAlignment="1" applyProtection="1">
      <alignment vertical="center" shrinkToFit="1"/>
      <protection locked="0"/>
    </xf>
    <xf numFmtId="0" fontId="105" fillId="0" borderId="0" xfId="0" applyFont="1" applyProtection="1">
      <protection locked="0"/>
    </xf>
    <xf numFmtId="0" fontId="106" fillId="0" borderId="0" xfId="0" applyFont="1" applyProtection="1">
      <protection locked="0"/>
    </xf>
    <xf numFmtId="0" fontId="107" fillId="0" borderId="0" xfId="0" applyFont="1" applyProtection="1">
      <protection locked="0"/>
    </xf>
    <xf numFmtId="0" fontId="100" fillId="0" borderId="0" xfId="0" applyFont="1" applyProtection="1">
      <protection locked="0"/>
    </xf>
    <xf numFmtId="0" fontId="31" fillId="24" borderId="0" xfId="0" applyFont="1" applyFill="1" applyAlignment="1" applyProtection="1">
      <alignment vertical="center"/>
      <protection locked="0"/>
    </xf>
    <xf numFmtId="0" fontId="87" fillId="0" borderId="0" xfId="0" applyFont="1"/>
    <xf numFmtId="0" fontId="46" fillId="0" borderId="0" xfId="0" applyFont="1" applyAlignment="1">
      <alignment horizontal="left"/>
    </xf>
    <xf numFmtId="0" fontId="106" fillId="0" borderId="0" xfId="0" applyFont="1"/>
    <xf numFmtId="49" fontId="40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87" fillId="0" borderId="0" xfId="0" applyFont="1" applyFill="1"/>
    <xf numFmtId="0" fontId="42" fillId="0" borderId="0" xfId="0" applyFont="1" applyFill="1" applyAlignment="1">
      <alignment horizontal="right" vertical="center"/>
    </xf>
    <xf numFmtId="0" fontId="8" fillId="0" borderId="0" xfId="0" applyFont="1" applyFill="1"/>
    <xf numFmtId="0" fontId="43" fillId="0" borderId="0" xfId="0" applyFont="1" applyFill="1" applyAlignment="1">
      <alignment horizontal="right"/>
    </xf>
    <xf numFmtId="0" fontId="108" fillId="0" borderId="13" xfId="84" applyFont="1" applyBorder="1" applyAlignment="1" applyProtection="1">
      <alignment horizontal="left" vertical="center"/>
    </xf>
    <xf numFmtId="0" fontId="109" fillId="0" borderId="13" xfId="84" applyFont="1" applyBorder="1" applyAlignment="1" applyProtection="1">
      <alignment horizontal="left" vertical="center"/>
    </xf>
    <xf numFmtId="0" fontId="108" fillId="65" borderId="13" xfId="84" applyFont="1" applyFill="1" applyBorder="1" applyAlignment="1" applyProtection="1">
      <alignment horizontal="left" vertical="center"/>
    </xf>
    <xf numFmtId="0" fontId="109" fillId="0" borderId="13" xfId="84" applyFont="1" applyBorder="1" applyAlignment="1" applyProtection="1">
      <alignment horizontal="left" vertical="center" wrapText="1"/>
    </xf>
    <xf numFmtId="0" fontId="108" fillId="0" borderId="0" xfId="84" applyFont="1" applyBorder="1" applyAlignment="1" applyProtection="1">
      <alignment horizontal="left" vertical="center"/>
    </xf>
    <xf numFmtId="0" fontId="108" fillId="0" borderId="13" xfId="84" applyFont="1" applyFill="1" applyBorder="1" applyAlignment="1" applyProtection="1">
      <alignment horizontal="left" vertical="center"/>
    </xf>
    <xf numFmtId="1" fontId="31" fillId="58" borderId="27" xfId="81" applyNumberFormat="1" applyFont="1" applyFill="1" applyBorder="1" applyAlignment="1" applyProtection="1">
      <alignment horizontal="center" vertical="center"/>
    </xf>
    <xf numFmtId="0" fontId="110" fillId="0" borderId="13" xfId="84" applyFont="1" applyBorder="1" applyAlignment="1" applyProtection="1">
      <alignment vertical="center" wrapText="1"/>
    </xf>
    <xf numFmtId="0" fontId="94" fillId="0" borderId="13" xfId="84" applyFont="1" applyBorder="1" applyAlignment="1" applyProtection="1">
      <alignment vertical="center" wrapText="1"/>
    </xf>
    <xf numFmtId="164" fontId="94" fillId="0" borderId="13" xfId="84" applyNumberFormat="1" applyFont="1" applyBorder="1" applyAlignment="1" applyProtection="1">
      <alignment vertical="center" wrapText="1"/>
    </xf>
    <xf numFmtId="10" fontId="94" fillId="0" borderId="13" xfId="84" applyNumberFormat="1" applyFont="1" applyBorder="1" applyAlignment="1" applyProtection="1">
      <alignment vertical="center" wrapText="1"/>
    </xf>
    <xf numFmtId="0" fontId="94" fillId="0" borderId="13" xfId="84" applyFont="1" applyBorder="1" applyAlignment="1" applyProtection="1">
      <alignment horizontal="center" vertical="center" wrapText="1"/>
    </xf>
    <xf numFmtId="0" fontId="111" fillId="0" borderId="13" xfId="84" applyFont="1" applyBorder="1" applyAlignment="1" applyProtection="1">
      <alignment vertical="center" wrapText="1"/>
    </xf>
    <xf numFmtId="0" fontId="93" fillId="0" borderId="0" xfId="84" applyFont="1" applyAlignment="1" applyProtection="1">
      <alignment horizontal="left" vertical="center"/>
    </xf>
    <xf numFmtId="0" fontId="58" fillId="0" borderId="0" xfId="0" applyFont="1" applyBorder="1" applyProtection="1">
      <protection locked="0"/>
    </xf>
    <xf numFmtId="0" fontId="46" fillId="0" borderId="0" xfId="0" applyFont="1" applyBorder="1" applyProtection="1"/>
    <xf numFmtId="164" fontId="47" fillId="0" borderId="53" xfId="0" applyNumberFormat="1" applyFont="1" applyBorder="1" applyAlignment="1" applyProtection="1">
      <alignment vertical="center"/>
      <protection locked="0"/>
    </xf>
    <xf numFmtId="164" fontId="47" fillId="0" borderId="15" xfId="0" applyNumberFormat="1" applyFont="1" applyBorder="1" applyAlignment="1" applyProtection="1">
      <alignment vertical="center"/>
      <protection locked="0"/>
    </xf>
    <xf numFmtId="0" fontId="83" fillId="0" borderId="0" xfId="0" quotePrefix="1" applyFont="1" applyAlignment="1">
      <alignment horizontal="center"/>
    </xf>
    <xf numFmtId="164" fontId="29" fillId="0" borderId="51" xfId="0" applyNumberFormat="1" applyFont="1" applyBorder="1"/>
    <xf numFmtId="164" fontId="29" fillId="0" borderId="52" xfId="0" applyNumberFormat="1" applyFont="1" applyBorder="1"/>
    <xf numFmtId="0" fontId="8" fillId="0" borderId="0" xfId="0" applyFont="1" applyAlignment="1" applyProtection="1">
      <alignment wrapText="1"/>
    </xf>
    <xf numFmtId="0" fontId="101" fillId="0" borderId="0" xfId="0" applyFont="1" applyFill="1"/>
    <xf numFmtId="0" fontId="3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</xf>
    <xf numFmtId="0" fontId="93" fillId="0" borderId="0" xfId="0" quotePrefix="1" applyFont="1" applyAlignment="1">
      <alignment horizontal="right"/>
    </xf>
    <xf numFmtId="0" fontId="93" fillId="0" borderId="0" xfId="0" quotePrefix="1" applyFont="1" applyAlignment="1">
      <alignment horizontal="center" vertical="center"/>
    </xf>
    <xf numFmtId="0" fontId="112" fillId="0" borderId="0" xfId="0" applyFont="1"/>
    <xf numFmtId="0" fontId="93" fillId="0" borderId="0" xfId="0" applyFont="1"/>
    <xf numFmtId="0" fontId="113" fillId="0" borderId="0" xfId="0" applyFont="1"/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right"/>
    </xf>
    <xf numFmtId="0" fontId="40" fillId="0" borderId="0" xfId="0" applyNumberFormat="1" applyFont="1" applyAlignment="1">
      <alignment vertical="center"/>
    </xf>
    <xf numFmtId="49" fontId="114" fillId="0" borderId="0" xfId="0" applyNumberFormat="1" applyFont="1" applyAlignment="1">
      <alignment vertical="center"/>
    </xf>
    <xf numFmtId="0" fontId="114" fillId="0" borderId="0" xfId="0" applyFont="1" applyAlignment="1">
      <alignment vertical="center"/>
    </xf>
    <xf numFmtId="1" fontId="114" fillId="0" borderId="0" xfId="0" applyNumberFormat="1" applyFont="1" applyAlignment="1">
      <alignment horizontal="center" vertical="center"/>
    </xf>
    <xf numFmtId="164" fontId="114" fillId="0" borderId="0" xfId="0" applyNumberFormat="1" applyFont="1" applyAlignment="1">
      <alignment vertical="center"/>
    </xf>
    <xf numFmtId="14" fontId="114" fillId="0" borderId="0" xfId="0" applyNumberFormat="1" applyFont="1" applyAlignment="1">
      <alignment vertical="center"/>
    </xf>
    <xf numFmtId="0" fontId="95" fillId="0" borderId="0" xfId="0" applyFont="1"/>
    <xf numFmtId="0" fontId="94" fillId="0" borderId="11" xfId="0" applyFont="1" applyBorder="1" applyAlignment="1">
      <alignment horizontal="left" vertical="center"/>
    </xf>
    <xf numFmtId="164" fontId="44" fillId="56" borderId="12" xfId="81" applyNumberFormat="1" applyFont="1" applyFill="1" applyBorder="1" applyAlignment="1">
      <alignment horizontal="center" vertical="center" shrinkToFit="1"/>
    </xf>
    <xf numFmtId="10" fontId="44" fillId="59" borderId="13" xfId="81" applyNumberFormat="1" applyFont="1" applyFill="1" applyBorder="1" applyAlignment="1">
      <alignment vertical="center" shrinkToFit="1"/>
    </xf>
    <xf numFmtId="0" fontId="9" fillId="0" borderId="0" xfId="0" applyFont="1" applyProtection="1"/>
    <xf numFmtId="164" fontId="44" fillId="56" borderId="37" xfId="81" applyNumberFormat="1" applyFont="1" applyFill="1" applyBorder="1" applyAlignment="1">
      <alignment horizontal="center" vertical="center" shrinkToFit="1"/>
    </xf>
    <xf numFmtId="1" fontId="9" fillId="56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Protection="1"/>
    <xf numFmtId="0" fontId="94" fillId="0" borderId="13" xfId="0" applyFont="1" applyBorder="1" applyAlignment="1">
      <alignment horizontal="left" vertical="center" wrapText="1" indent="1"/>
    </xf>
    <xf numFmtId="0" fontId="94" fillId="0" borderId="13" xfId="0" applyFont="1" applyBorder="1" applyAlignment="1">
      <alignment horizontal="left" vertical="center" wrapText="1" indent="2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94" fillId="0" borderId="37" xfId="0" applyFont="1" applyBorder="1" applyAlignment="1">
      <alignment horizontal="left" vertical="center" wrapText="1"/>
    </xf>
    <xf numFmtId="0" fontId="94" fillId="0" borderId="13" xfId="0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vertical="center"/>
    </xf>
    <xf numFmtId="0" fontId="89" fillId="0" borderId="0" xfId="0" applyFont="1" applyAlignment="1" applyProtection="1">
      <alignment horizontal="center"/>
    </xf>
    <xf numFmtId="0" fontId="107" fillId="0" borderId="0" xfId="0" applyFont="1" applyFill="1"/>
    <xf numFmtId="0" fontId="96" fillId="60" borderId="0" xfId="0" applyFont="1" applyFill="1" applyAlignment="1">
      <alignment vertical="top" wrapText="1"/>
    </xf>
    <xf numFmtId="0" fontId="96" fillId="0" borderId="0" xfId="0" applyFont="1" applyFill="1" applyAlignment="1">
      <alignment vertical="top" wrapText="1"/>
    </xf>
    <xf numFmtId="0" fontId="115" fillId="0" borderId="0" xfId="0" applyFont="1" applyAlignment="1">
      <alignment vertical="top"/>
    </xf>
    <xf numFmtId="0" fontId="0" fillId="61" borderId="0" xfId="0" applyFill="1"/>
    <xf numFmtId="0" fontId="81" fillId="61" borderId="0" xfId="0" applyFont="1" applyFill="1" applyAlignment="1">
      <alignment horizontal="center"/>
    </xf>
    <xf numFmtId="0" fontId="61" fillId="57" borderId="0" xfId="0" applyFont="1" applyFill="1" applyProtection="1">
      <protection locked="0"/>
    </xf>
    <xf numFmtId="0" fontId="116" fillId="57" borderId="0" xfId="0" applyFont="1" applyFill="1" applyProtection="1">
      <protection locked="0"/>
    </xf>
    <xf numFmtId="0" fontId="117" fillId="57" borderId="0" xfId="0" applyFont="1" applyFill="1" applyProtection="1">
      <protection locked="0"/>
    </xf>
    <xf numFmtId="0" fontId="95" fillId="0" borderId="0" xfId="0" applyFont="1" applyFill="1" applyAlignment="1">
      <alignment vertical="top" wrapText="1"/>
    </xf>
    <xf numFmtId="0" fontId="9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8" fillId="0" borderId="0" xfId="0" applyFont="1" applyFill="1" applyAlignment="1">
      <alignment vertical="top" wrapText="1"/>
    </xf>
    <xf numFmtId="0" fontId="96" fillId="0" borderId="0" xfId="0" applyFont="1" applyAlignment="1">
      <alignment vertical="top" wrapText="1"/>
    </xf>
    <xf numFmtId="0" fontId="0" fillId="0" borderId="0" xfId="0"/>
    <xf numFmtId="0" fontId="119" fillId="69" borderId="0" xfId="0" applyFont="1" applyFill="1" applyAlignment="1">
      <alignment horizont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 wrapText="1"/>
    </xf>
  </cellXfs>
  <cellStyles count="110">
    <cellStyle name="20% - akcent 1 2" xfId="1" xr:uid="{00000000-0005-0000-0000-000000000000}"/>
    <cellStyle name="20% - akcent 1 3" xfId="2" xr:uid="{00000000-0005-0000-0000-000001000000}"/>
    <cellStyle name="20% - akcent 2 2" xfId="3" xr:uid="{00000000-0005-0000-0000-000002000000}"/>
    <cellStyle name="20% - akcent 2 3" xfId="4" xr:uid="{00000000-0005-0000-0000-000003000000}"/>
    <cellStyle name="20% - akcent 3 2" xfId="5" xr:uid="{00000000-0005-0000-0000-000004000000}"/>
    <cellStyle name="20% - akcent 3 3" xfId="6" xr:uid="{00000000-0005-0000-0000-000005000000}"/>
    <cellStyle name="20% - akcent 4 2" xfId="7" xr:uid="{00000000-0005-0000-0000-000006000000}"/>
    <cellStyle name="20% - akcent 4 3" xfId="8" xr:uid="{00000000-0005-0000-0000-000007000000}"/>
    <cellStyle name="20% - akcent 5 2" xfId="9" xr:uid="{00000000-0005-0000-0000-000008000000}"/>
    <cellStyle name="20% - akcent 5 3" xfId="10" xr:uid="{00000000-0005-0000-0000-000009000000}"/>
    <cellStyle name="20% - akcent 6 2" xfId="11" xr:uid="{00000000-0005-0000-0000-00000A000000}"/>
    <cellStyle name="20% - akcent 6 3" xfId="12" xr:uid="{00000000-0005-0000-0000-00000B000000}"/>
    <cellStyle name="40% - akcent 1 2" xfId="13" xr:uid="{00000000-0005-0000-0000-00000C000000}"/>
    <cellStyle name="40% - akcent 1 3" xfId="14" xr:uid="{00000000-0005-0000-0000-00000D000000}"/>
    <cellStyle name="40% - akcent 2 2" xfId="15" xr:uid="{00000000-0005-0000-0000-00000E000000}"/>
    <cellStyle name="40% - akcent 2 3" xfId="16" xr:uid="{00000000-0005-0000-0000-00000F000000}"/>
    <cellStyle name="40% - akcent 3 2" xfId="17" xr:uid="{00000000-0005-0000-0000-000010000000}"/>
    <cellStyle name="40% - akcent 3 3" xfId="18" xr:uid="{00000000-0005-0000-0000-000011000000}"/>
    <cellStyle name="40% - akcent 4 2" xfId="19" xr:uid="{00000000-0005-0000-0000-000012000000}"/>
    <cellStyle name="40% - akcent 4 3" xfId="20" xr:uid="{00000000-0005-0000-0000-000013000000}"/>
    <cellStyle name="40% - akcent 5 2" xfId="21" xr:uid="{00000000-0005-0000-0000-000014000000}"/>
    <cellStyle name="40% - akcent 5 3" xfId="22" xr:uid="{00000000-0005-0000-0000-000015000000}"/>
    <cellStyle name="40% - akcent 6 2" xfId="23" xr:uid="{00000000-0005-0000-0000-000016000000}"/>
    <cellStyle name="40% - akcent 6 3" xfId="24" xr:uid="{00000000-0005-0000-0000-000017000000}"/>
    <cellStyle name="60% - akcent 1 2" xfId="25" xr:uid="{00000000-0005-0000-0000-000018000000}"/>
    <cellStyle name="60% - akcent 1 3" xfId="26" xr:uid="{00000000-0005-0000-0000-000019000000}"/>
    <cellStyle name="60% - akcent 2 2" xfId="27" xr:uid="{00000000-0005-0000-0000-00001A000000}"/>
    <cellStyle name="60% - akcent 2 3" xfId="28" xr:uid="{00000000-0005-0000-0000-00001B000000}"/>
    <cellStyle name="60% - akcent 3 2" xfId="29" xr:uid="{00000000-0005-0000-0000-00001C000000}"/>
    <cellStyle name="60% - akcent 3 3" xfId="30" xr:uid="{00000000-0005-0000-0000-00001D000000}"/>
    <cellStyle name="60% - akcent 4 2" xfId="31" xr:uid="{00000000-0005-0000-0000-00001E000000}"/>
    <cellStyle name="60% - akcent 4 3" xfId="32" xr:uid="{00000000-0005-0000-0000-00001F000000}"/>
    <cellStyle name="60% - akcent 5 2" xfId="33" xr:uid="{00000000-0005-0000-0000-000020000000}"/>
    <cellStyle name="60% - akcent 5 3" xfId="34" xr:uid="{00000000-0005-0000-0000-000021000000}"/>
    <cellStyle name="60% - akcent 6 2" xfId="35" xr:uid="{00000000-0005-0000-0000-000022000000}"/>
    <cellStyle name="60% - akcent 6 3" xfId="36" xr:uid="{00000000-0005-0000-0000-000023000000}"/>
    <cellStyle name="Akcent 1 2" xfId="37" xr:uid="{00000000-0005-0000-0000-000024000000}"/>
    <cellStyle name="Akcent 1 3" xfId="38" xr:uid="{00000000-0005-0000-0000-000025000000}"/>
    <cellStyle name="Akcent 2 2" xfId="39" xr:uid="{00000000-0005-0000-0000-000026000000}"/>
    <cellStyle name="Akcent 2 3" xfId="40" xr:uid="{00000000-0005-0000-0000-000027000000}"/>
    <cellStyle name="Akcent 3 2" xfId="41" xr:uid="{00000000-0005-0000-0000-000028000000}"/>
    <cellStyle name="Akcent 3 3" xfId="42" xr:uid="{00000000-0005-0000-0000-000029000000}"/>
    <cellStyle name="Akcent 4 2" xfId="43" xr:uid="{00000000-0005-0000-0000-00002A000000}"/>
    <cellStyle name="Akcent 4 3" xfId="44" xr:uid="{00000000-0005-0000-0000-00002B000000}"/>
    <cellStyle name="Akcent 5 2" xfId="45" xr:uid="{00000000-0005-0000-0000-00002C000000}"/>
    <cellStyle name="Akcent 5 3" xfId="46" xr:uid="{00000000-0005-0000-0000-00002D000000}"/>
    <cellStyle name="Akcent 6 2" xfId="47" xr:uid="{00000000-0005-0000-0000-00002E000000}"/>
    <cellStyle name="Akcent 6 3" xfId="48" xr:uid="{00000000-0005-0000-0000-00002F000000}"/>
    <cellStyle name="Dane wejściowe 2" xfId="49" xr:uid="{00000000-0005-0000-0000-000030000000}"/>
    <cellStyle name="Dane wejściowe 3" xfId="50" xr:uid="{00000000-0005-0000-0000-000031000000}"/>
    <cellStyle name="Dane wyjściowe 2" xfId="51" xr:uid="{00000000-0005-0000-0000-000032000000}"/>
    <cellStyle name="Dane wyjściowe 3" xfId="52" xr:uid="{00000000-0005-0000-0000-000033000000}"/>
    <cellStyle name="Dobre 2" xfId="53" xr:uid="{00000000-0005-0000-0000-000034000000}"/>
    <cellStyle name="Dobre 3" xfId="54" xr:uid="{00000000-0005-0000-0000-000035000000}"/>
    <cellStyle name="Komórka połączona 2" xfId="55" xr:uid="{00000000-0005-0000-0000-000036000000}"/>
    <cellStyle name="Komórka połączona 3" xfId="56" xr:uid="{00000000-0005-0000-0000-000037000000}"/>
    <cellStyle name="Komórka zaznaczona 2" xfId="57" xr:uid="{00000000-0005-0000-0000-000038000000}"/>
    <cellStyle name="Komórka zaznaczona 3" xfId="58" xr:uid="{00000000-0005-0000-0000-000039000000}"/>
    <cellStyle name="Nagłówek 1 2" xfId="59" xr:uid="{00000000-0005-0000-0000-00003A000000}"/>
    <cellStyle name="Nagłówek 1 3" xfId="60" xr:uid="{00000000-0005-0000-0000-00003B000000}"/>
    <cellStyle name="Nagłówek 2 2" xfId="61" xr:uid="{00000000-0005-0000-0000-00003C000000}"/>
    <cellStyle name="Nagłówek 2 3" xfId="62" xr:uid="{00000000-0005-0000-0000-00003D000000}"/>
    <cellStyle name="Nagłówek 3 2" xfId="63" xr:uid="{00000000-0005-0000-0000-00003E000000}"/>
    <cellStyle name="Nagłówek 3 3" xfId="64" xr:uid="{00000000-0005-0000-0000-00003F000000}"/>
    <cellStyle name="Nagłówek 4 2" xfId="65" xr:uid="{00000000-0005-0000-0000-000040000000}"/>
    <cellStyle name="Nagłówek 4 3" xfId="66" xr:uid="{00000000-0005-0000-0000-000041000000}"/>
    <cellStyle name="Neutralne 2" xfId="67" xr:uid="{00000000-0005-0000-0000-000042000000}"/>
    <cellStyle name="Neutralne 3" xfId="68" xr:uid="{00000000-0005-0000-0000-000043000000}"/>
    <cellStyle name="Normalny" xfId="0" builtinId="0"/>
    <cellStyle name="Normalny 10" xfId="69" xr:uid="{00000000-0005-0000-0000-000045000000}"/>
    <cellStyle name="Normalny 2" xfId="70" xr:uid="{00000000-0005-0000-0000-000046000000}"/>
    <cellStyle name="Normalny 2 2" xfId="71" xr:uid="{00000000-0005-0000-0000-000047000000}"/>
    <cellStyle name="Normalny 2 3" xfId="72" xr:uid="{00000000-0005-0000-0000-000048000000}"/>
    <cellStyle name="Normalny 2 4" xfId="73" xr:uid="{00000000-0005-0000-0000-000049000000}"/>
    <cellStyle name="Normalny 2 5" xfId="74" xr:uid="{00000000-0005-0000-0000-00004A000000}"/>
    <cellStyle name="Normalny 2 6" xfId="75" xr:uid="{00000000-0005-0000-0000-00004B000000}"/>
    <cellStyle name="Normalny 2 7" xfId="76" xr:uid="{00000000-0005-0000-0000-00004C000000}"/>
    <cellStyle name="Normalny 3" xfId="77" xr:uid="{00000000-0005-0000-0000-00004D000000}"/>
    <cellStyle name="Normalny 4" xfId="78" xr:uid="{00000000-0005-0000-0000-00004E000000}"/>
    <cellStyle name="Normalny 5" xfId="79" xr:uid="{00000000-0005-0000-0000-00004F000000}"/>
    <cellStyle name="Normalny 6" xfId="80" xr:uid="{00000000-0005-0000-0000-000050000000}"/>
    <cellStyle name="Normalny 6 2" xfId="81" xr:uid="{00000000-0005-0000-0000-000051000000}"/>
    <cellStyle name="Normalny 7" xfId="82" xr:uid="{00000000-0005-0000-0000-000052000000}"/>
    <cellStyle name="Normalny 7 2" xfId="83" xr:uid="{00000000-0005-0000-0000-000053000000}"/>
    <cellStyle name="Normalny 8" xfId="84" xr:uid="{00000000-0005-0000-0000-000054000000}"/>
    <cellStyle name="Normalny 8 2" xfId="85" xr:uid="{00000000-0005-0000-0000-000055000000}"/>
    <cellStyle name="Normalny 9" xfId="86" xr:uid="{00000000-0005-0000-0000-000056000000}"/>
    <cellStyle name="Obliczenia 2" xfId="87" xr:uid="{00000000-0005-0000-0000-000057000000}"/>
    <cellStyle name="Obliczenia 3" xfId="88" xr:uid="{00000000-0005-0000-0000-000058000000}"/>
    <cellStyle name="Procentowy" xfId="89" builtinId="5"/>
    <cellStyle name="Procentowy 2" xfId="90" xr:uid="{00000000-0005-0000-0000-00005A000000}"/>
    <cellStyle name="Procentowy 2 2" xfId="91" xr:uid="{00000000-0005-0000-0000-00005B000000}"/>
    <cellStyle name="Procentowy 2 3" xfId="92" xr:uid="{00000000-0005-0000-0000-00005C000000}"/>
    <cellStyle name="Procentowy 3" xfId="93" xr:uid="{00000000-0005-0000-0000-00005D000000}"/>
    <cellStyle name="Procentowy 3 2" xfId="94" xr:uid="{00000000-0005-0000-0000-00005E000000}"/>
    <cellStyle name="Procentowy 4" xfId="95" xr:uid="{00000000-0005-0000-0000-00005F000000}"/>
    <cellStyle name="Procentowy 5" xfId="96" xr:uid="{00000000-0005-0000-0000-000060000000}"/>
    <cellStyle name="Procentowy 6" xfId="97" xr:uid="{00000000-0005-0000-0000-000061000000}"/>
    <cellStyle name="Suma 2" xfId="98" xr:uid="{00000000-0005-0000-0000-000062000000}"/>
    <cellStyle name="Suma 3" xfId="99" xr:uid="{00000000-0005-0000-0000-000063000000}"/>
    <cellStyle name="Tekst objaśnienia 2" xfId="100" xr:uid="{00000000-0005-0000-0000-000064000000}"/>
    <cellStyle name="Tekst objaśnienia 3" xfId="101" xr:uid="{00000000-0005-0000-0000-000065000000}"/>
    <cellStyle name="Tekst ostrzeżenia 2" xfId="102" xr:uid="{00000000-0005-0000-0000-000066000000}"/>
    <cellStyle name="Tekst ostrzeżenia 3" xfId="103" xr:uid="{00000000-0005-0000-0000-000067000000}"/>
    <cellStyle name="Tytuł" xfId="104" builtinId="15" customBuiltin="1"/>
    <cellStyle name="Tytuł 2" xfId="105" xr:uid="{00000000-0005-0000-0000-000069000000}"/>
    <cellStyle name="Uwaga 2" xfId="106" xr:uid="{00000000-0005-0000-0000-00006A000000}"/>
    <cellStyle name="Uwaga 3" xfId="107" xr:uid="{00000000-0005-0000-0000-00006B000000}"/>
    <cellStyle name="Złe 2" xfId="108" xr:uid="{00000000-0005-0000-0000-00006C000000}"/>
    <cellStyle name="Złe 3" xfId="109" xr:uid="{00000000-0005-0000-0000-00006D000000}"/>
  </cellStyles>
  <dxfs count="4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WPF_bazowy!$N$18:$W$18</c:f>
              <c:numCache>
                <c:formatCode>#\ ##0.00_ ;[Red]\-#\ ##0.00\ </c:formatCode>
                <c:ptCount val="10"/>
                <c:pt idx="0">
                  <c:v>10814085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F-48B1-BBAB-E7FFE35C8B28}"/>
            </c:ext>
          </c:extLst>
        </c:ser>
        <c:ser>
          <c:idx val="1"/>
          <c:order val="1"/>
          <c:tx>
            <c:strRef>
              <c:f>WPF_bazowy!$D$19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WPF_bazowy!$N$19:$X$19</c:f>
              <c:numCache>
                <c:formatCode>#\ ##0.00_ ;[Red]\-#\ ##0.00\ </c:formatCode>
                <c:ptCount val="11"/>
                <c:pt idx="0">
                  <c:v>29000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F-48B1-BBAB-E7FFE35C8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46496"/>
        <c:axId val="134749568"/>
      </c:lineChart>
      <c:catAx>
        <c:axId val="1347464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4749568"/>
        <c:crosses val="autoZero"/>
        <c:auto val="1"/>
        <c:lblAlgn val="ctr"/>
        <c:lblOffset val="100"/>
        <c:noMultiLvlLbl val="0"/>
      </c:catAx>
      <c:valAx>
        <c:axId val="13474956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47464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7697787776527935"/>
          <c:y val="0.8936479216693658"/>
          <c:w val="0.84437654248442828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WPF_Analiza!$D$11</c:f>
              <c:strCache>
                <c:ptCount val="1"/>
                <c:pt idx="0">
                  <c:v>dochody bieżące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WPF_Analiza!$N$11:$W$11</c:f>
              <c:numCache>
                <c:formatCode>#\ ##0.00_ ;[Red]\-#\ ##0.00\ </c:formatCode>
                <c:ptCount val="10"/>
                <c:pt idx="0">
                  <c:v>49912310</c:v>
                </c:pt>
                <c:pt idx="1">
                  <c:v>51408346</c:v>
                </c:pt>
                <c:pt idx="2">
                  <c:v>53207637</c:v>
                </c:pt>
                <c:pt idx="3">
                  <c:v>55069905</c:v>
                </c:pt>
                <c:pt idx="4">
                  <c:v>56997351</c:v>
                </c:pt>
                <c:pt idx="5">
                  <c:v>58935260</c:v>
                </c:pt>
                <c:pt idx="6">
                  <c:v>60880124</c:v>
                </c:pt>
                <c:pt idx="7">
                  <c:v>62767408</c:v>
                </c:pt>
                <c:pt idx="8">
                  <c:v>64587663</c:v>
                </c:pt>
                <c:pt idx="9">
                  <c:v>66396118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F-463B-A8A6-48D179F6EADC}"/>
            </c:ext>
          </c:extLst>
        </c:ser>
        <c:ser>
          <c:idx val="1"/>
          <c:order val="1"/>
          <c:tx>
            <c:strRef>
              <c:f>WPF_Analiza!$D$18</c:f>
              <c:strCache>
                <c:ptCount val="1"/>
                <c:pt idx="0">
                  <c:v>dochody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WPF_Analiza!$N$18:$W$18</c:f>
              <c:numCache>
                <c:formatCode>#\ ##0.00_ ;[Red]\-#\ ##0.00\ </c:formatCode>
                <c:ptCount val="10"/>
                <c:pt idx="0">
                  <c:v>10814085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F-463B-A8A6-48D179F6E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975616"/>
        <c:axId val="148977152"/>
      </c:barChart>
      <c:catAx>
        <c:axId val="148975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77152"/>
        <c:crosses val="autoZero"/>
        <c:auto val="1"/>
        <c:lblAlgn val="ctr"/>
        <c:lblOffset val="100"/>
        <c:noMultiLvlLbl val="0"/>
      </c:catAx>
      <c:valAx>
        <c:axId val="14897715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7561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2899878559956125"/>
          <c:y val="0.9017853294653958"/>
          <c:w val="0.71004393107577968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WPF_Analiza!$N$22:$W$22</c:f>
              <c:numCache>
                <c:formatCode>#\ ##0.00_ ;[Red]\-#\ ##0.00\ </c:formatCode>
                <c:ptCount val="10"/>
                <c:pt idx="0">
                  <c:v>48854045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3-488B-84C5-6F010E441E2A}"/>
            </c:ext>
          </c:extLst>
        </c:ser>
        <c:ser>
          <c:idx val="1"/>
          <c:order val="1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WPF_Analiza!$N$30:$W$30</c:f>
              <c:numCache>
                <c:formatCode>#\ ##0.00_ ;[Red]\-#\ ##0.00\ </c:formatCode>
                <c:ptCount val="10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3-488B-84C5-6F010E441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018112"/>
        <c:axId val="149019648"/>
      </c:barChart>
      <c:catAx>
        <c:axId val="149018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019648"/>
        <c:crosses val="autoZero"/>
        <c:auto val="1"/>
        <c:lblAlgn val="ctr"/>
        <c:lblOffset val="100"/>
        <c:noMultiLvlLbl val="0"/>
      </c:catAx>
      <c:valAx>
        <c:axId val="1490196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01811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30064928451107792"/>
          <c:y val="0.9017853294653958"/>
          <c:w val="0.70151492257497661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WPF_Analiza!$N$22:$W$22</c:f>
              <c:numCache>
                <c:formatCode>#\ ##0.00_ ;[Red]\-#\ ##0.00\ </c:formatCode>
                <c:ptCount val="10"/>
                <c:pt idx="0">
                  <c:v>48854045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1-488B-A8B5-2BE294140569}"/>
            </c:ext>
          </c:extLst>
        </c:ser>
        <c:ser>
          <c:idx val="1"/>
          <c:order val="1"/>
          <c:tx>
            <c:strRef>
              <c:f>WPF_bazowy!$D$23</c:f>
              <c:strCache>
                <c:ptCount val="1"/>
                <c:pt idx="0">
                  <c:v>wydatki na wynagrodzenia i pochodne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WPF_bazowy!$N$23:$W$23</c:f>
              <c:numCache>
                <c:formatCode>#\ ##0.00_ ;[Red]\-#\ ##0.00\ </c:formatCode>
                <c:ptCount val="10"/>
                <c:pt idx="0">
                  <c:v>31180276</c:v>
                </c:pt>
                <c:pt idx="1">
                  <c:v>32064184</c:v>
                </c:pt>
                <c:pt idx="2">
                  <c:v>32929917</c:v>
                </c:pt>
                <c:pt idx="3">
                  <c:v>33753165</c:v>
                </c:pt>
                <c:pt idx="4">
                  <c:v>34596994</c:v>
                </c:pt>
                <c:pt idx="5">
                  <c:v>35461919</c:v>
                </c:pt>
                <c:pt idx="6">
                  <c:v>36348467</c:v>
                </c:pt>
                <c:pt idx="7">
                  <c:v>37257179</c:v>
                </c:pt>
                <c:pt idx="8">
                  <c:v>38188608</c:v>
                </c:pt>
                <c:pt idx="9">
                  <c:v>39143323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1-488B-A8B5-2BE29414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101952"/>
        <c:axId val="149132416"/>
      </c:lineChart>
      <c:catAx>
        <c:axId val="149101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32416"/>
        <c:crosses val="autoZero"/>
        <c:auto val="1"/>
        <c:lblAlgn val="ctr"/>
        <c:lblOffset val="100"/>
        <c:noMultiLvlLbl val="0"/>
      </c:catAx>
      <c:valAx>
        <c:axId val="14913241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019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595793823644385"/>
          <c:y val="0.8936479216693658"/>
          <c:w val="0.85747339029429837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WPF_Analiza!$N$30:$X$30</c:f>
              <c:numCache>
                <c:formatCode>#\ ##0.00_ ;[Red]\-#\ ##0.00\ </c:formatCode>
                <c:ptCount val="11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  <c:pt idx="10">
                  <c:v>5111826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7-436B-AB4E-C4F3BA1E5847}"/>
            </c:ext>
          </c:extLst>
        </c:ser>
        <c:ser>
          <c:idx val="0"/>
          <c:order val="1"/>
          <c:tx>
            <c:strRef>
              <c:f>WPF_Analiza!$D$93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WPF_Analiza!$N$93:$W$93</c:f>
              <c:numCache>
                <c:formatCode>#\ ##0.00_ ;[Red]\-#\ ##0.00\ </c:formatCode>
                <c:ptCount val="10"/>
                <c:pt idx="0">
                  <c:v>7230000</c:v>
                </c:pt>
                <c:pt idx="1">
                  <c:v>22887000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7-436B-AB4E-C4F3BA1E5847}"/>
            </c:ext>
          </c:extLst>
        </c:ser>
        <c:ser>
          <c:idx val="1"/>
          <c:order val="2"/>
          <c:tx>
            <c:strRef>
              <c:f>WPF_Analiza!$D$92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WPF_Analiza!$N$92:$W$92</c:f>
              <c:numCache>
                <c:formatCode>#\ ##0.00_ ;[Red]\-#\ ##0.00\ </c:formatCode>
                <c:ptCount val="10"/>
                <c:pt idx="0">
                  <c:v>2303117</c:v>
                </c:pt>
                <c:pt idx="1">
                  <c:v>418220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7-436B-AB4E-C4F3BA1E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154048"/>
        <c:axId val="149159936"/>
      </c:lineChart>
      <c:catAx>
        <c:axId val="149154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59936"/>
        <c:crosses val="autoZero"/>
        <c:auto val="1"/>
        <c:lblAlgn val="ctr"/>
        <c:lblOffset val="100"/>
        <c:noMultiLvlLbl val="0"/>
      </c:catAx>
      <c:valAx>
        <c:axId val="1491599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540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5.9576255095772607E-2"/>
          <c:y val="0.90529410139522026"/>
          <c:w val="0.95109309208689341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WPF_Analiza!$D$47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WPF_Analiza!$N$47:$W$47</c:f>
              <c:numCache>
                <c:formatCode>#\ ##0.00_ ;[Red]\-#\ ##0.00\ </c:formatCode>
                <c:ptCount val="10"/>
                <c:pt idx="0">
                  <c:v>0</c:v>
                </c:pt>
                <c:pt idx="1">
                  <c:v>2000000</c:v>
                </c:pt>
                <c:pt idx="2">
                  <c:v>1915000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848-A2F5-78CAB69D964E}"/>
            </c:ext>
          </c:extLst>
        </c:ser>
        <c:ser>
          <c:idx val="2"/>
          <c:order val="2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WPF_Analiza!$N$30:$W$30</c:f>
              <c:numCache>
                <c:formatCode>#\ ##0.00_ ;[Red]\-#\ ##0.00\ </c:formatCode>
                <c:ptCount val="10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1-4848-A2F5-78CAB69D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90528"/>
        <c:axId val="149192064"/>
      </c:barChart>
      <c:lineChart>
        <c:grouping val="standard"/>
        <c:varyColors val="0"/>
        <c:ser>
          <c:idx val="0"/>
          <c:order val="0"/>
          <c:tx>
            <c:strRef>
              <c:f>WPF_Analiza!$D$60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WPF_Analiza!$N$60:$W$60</c:f>
              <c:numCache>
                <c:formatCode>#\ ##0.00_ ;[Red]\-#\ ##0.00\ </c:formatCode>
                <c:ptCount val="10"/>
                <c:pt idx="0">
                  <c:v>1058265</c:v>
                </c:pt>
                <c:pt idx="1">
                  <c:v>1904854</c:v>
                </c:pt>
                <c:pt idx="2">
                  <c:v>2445284</c:v>
                </c:pt>
                <c:pt idx="3">
                  <c:v>3113533</c:v>
                </c:pt>
                <c:pt idx="4">
                  <c:v>3816905</c:v>
                </c:pt>
                <c:pt idx="5">
                  <c:v>4498543</c:v>
                </c:pt>
                <c:pt idx="6">
                  <c:v>5146159</c:v>
                </c:pt>
                <c:pt idx="7">
                  <c:v>5690393</c:v>
                </c:pt>
                <c:pt idx="8">
                  <c:v>6126926</c:v>
                </c:pt>
                <c:pt idx="9">
                  <c:v>6514120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1-4848-A2F5-78CAB69D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90528"/>
        <c:axId val="149192064"/>
      </c:lineChart>
      <c:catAx>
        <c:axId val="149190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92064"/>
        <c:crosses val="autoZero"/>
        <c:auto val="1"/>
        <c:lblAlgn val="ctr"/>
        <c:lblOffset val="100"/>
        <c:noMultiLvlLbl val="0"/>
      </c:catAx>
      <c:valAx>
        <c:axId val="14919206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19052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5.7571087196190029E-2"/>
          <c:y val="0.90529410139522026"/>
          <c:w val="0.95098993222862083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WPF_Analiza!$D$69</c:f>
              <c:strCache>
                <c:ptCount val="1"/>
                <c:pt idx="0">
                  <c:v>średnia z art. 243 (plan III kw N-1)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WPF_Analiza!$N$69:$W$69</c:f>
              <c:numCache>
                <c:formatCode>0.00%</c:formatCode>
                <c:ptCount val="10"/>
                <c:pt idx="0">
                  <c:v>0.14810000000000001</c:v>
                </c:pt>
                <c:pt idx="1">
                  <c:v>0.13919999999999999</c:v>
                </c:pt>
                <c:pt idx="2">
                  <c:v>0.1249</c:v>
                </c:pt>
                <c:pt idx="3">
                  <c:v>0.11559999999999999</c:v>
                </c:pt>
                <c:pt idx="4">
                  <c:v>0.10050000000000001</c:v>
                </c:pt>
                <c:pt idx="5">
                  <c:v>8.8400000000000006E-2</c:v>
                </c:pt>
                <c:pt idx="6">
                  <c:v>8.3299999999999999E-2</c:v>
                </c:pt>
                <c:pt idx="7">
                  <c:v>8.9300000000000004E-2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B-4EB4-9641-F77207C6E1BC}"/>
            </c:ext>
          </c:extLst>
        </c:ser>
        <c:ser>
          <c:idx val="1"/>
          <c:order val="1"/>
          <c:tx>
            <c:strRef>
              <c:f>WPF_Analiza!$D$63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WPF_Analiza!$N$63:$W$63</c:f>
              <c:numCache>
                <c:formatCode>0.00%</c:formatCode>
                <c:ptCount val="10"/>
                <c:pt idx="0">
                  <c:v>9.7999999999999997E-3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B-4EB4-9641-F77207C6E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72928"/>
        <c:axId val="149374464"/>
      </c:lineChart>
      <c:catAx>
        <c:axId val="149372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374464"/>
        <c:crosses val="autoZero"/>
        <c:auto val="1"/>
        <c:lblAlgn val="ctr"/>
        <c:lblOffset val="100"/>
        <c:noMultiLvlLbl val="0"/>
      </c:catAx>
      <c:valAx>
        <c:axId val="149374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37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8977150244279167"/>
          <c:y val="0.89476741723074094"/>
          <c:w val="0.810260508481216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WPF_Analiza!$D$70</c:f>
              <c:strCache>
                <c:ptCount val="1"/>
                <c:pt idx="0">
                  <c:v>średnia z art. 243 (wykonanie IV kw N-1)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WPF_Analiza!$N$70:$W$70</c:f>
              <c:numCache>
                <c:formatCode>0.00%</c:formatCode>
                <c:ptCount val="10"/>
                <c:pt idx="0">
                  <c:v>0.1769</c:v>
                </c:pt>
                <c:pt idx="1">
                  <c:v>0.16789999999999999</c:v>
                </c:pt>
                <c:pt idx="2">
                  <c:v>0.15359999999999999</c:v>
                </c:pt>
                <c:pt idx="3">
                  <c:v>0.1444</c:v>
                </c:pt>
                <c:pt idx="4">
                  <c:v>0.11749999999999999</c:v>
                </c:pt>
                <c:pt idx="5">
                  <c:v>0.10539999999999999</c:v>
                </c:pt>
                <c:pt idx="6">
                  <c:v>0.1003</c:v>
                </c:pt>
                <c:pt idx="7">
                  <c:v>8.9300000000000004E-2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C-40F8-AAD6-1FF071C9AE83}"/>
            </c:ext>
          </c:extLst>
        </c:ser>
        <c:ser>
          <c:idx val="1"/>
          <c:order val="1"/>
          <c:tx>
            <c:strRef>
              <c:f>WPF_Analiza!$D$63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WPF_Analiza!$N$63:$W$63</c:f>
              <c:numCache>
                <c:formatCode>0.00%</c:formatCode>
                <c:ptCount val="10"/>
                <c:pt idx="0">
                  <c:v>9.7999999999999997E-3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C-40F8-AAD6-1FF071C9A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99040"/>
        <c:axId val="149400576"/>
      </c:lineChart>
      <c:catAx>
        <c:axId val="149399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00576"/>
        <c:crosses val="autoZero"/>
        <c:auto val="1"/>
        <c:lblAlgn val="ctr"/>
        <c:lblOffset val="100"/>
        <c:noMultiLvlLbl val="0"/>
      </c:catAx>
      <c:valAx>
        <c:axId val="149400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39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5532383983916903"/>
          <c:y val="0.89476741723074094"/>
          <c:w val="0.84257910314402173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WPF_bazowy!$D$57</c:f>
              <c:strCache>
                <c:ptCount val="1"/>
                <c:pt idx="0">
                  <c:v>kwota długu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WPF_bazowy!$N$57:$W$57</c:f>
              <c:numCache>
                <c:formatCode>#\ ##0.00_ ;[Red]\-#\ ##0.00\ </c:formatCode>
                <c:ptCount val="10"/>
                <c:pt idx="0">
                  <c:v>18415000</c:v>
                </c:pt>
                <c:pt idx="1">
                  <c:v>17415000</c:v>
                </c:pt>
                <c:pt idx="2">
                  <c:v>15500000</c:v>
                </c:pt>
                <c:pt idx="3">
                  <c:v>13500000</c:v>
                </c:pt>
                <c:pt idx="4">
                  <c:v>11500000</c:v>
                </c:pt>
                <c:pt idx="5">
                  <c:v>9500000</c:v>
                </c:pt>
                <c:pt idx="6">
                  <c:v>8000000</c:v>
                </c:pt>
                <c:pt idx="7">
                  <c:v>6500000</c:v>
                </c:pt>
                <c:pt idx="8">
                  <c:v>5000000</c:v>
                </c:pt>
                <c:pt idx="9">
                  <c:v>3500000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0-44B8-831B-8C016994F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38848"/>
        <c:axId val="149440384"/>
      </c:barChart>
      <c:lineChart>
        <c:grouping val="standard"/>
        <c:varyColors val="0"/>
        <c:ser>
          <c:idx val="1"/>
          <c:order val="1"/>
          <c:tx>
            <c:strRef>
              <c:f>WPF_bazowy!$D$73</c:f>
              <c:strCache>
                <c:ptCount val="1"/>
                <c:pt idx="0">
                  <c:v>relacja kwoty długu do dochodów ogółem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WPF_bazowy!$N$73:$W$73</c:f>
              <c:numCache>
                <c:formatCode>0.00%</c:formatCode>
                <c:ptCount val="10"/>
                <c:pt idx="0">
                  <c:v>0.30320000000000003</c:v>
                </c:pt>
                <c:pt idx="1">
                  <c:v>0.2364</c:v>
                </c:pt>
                <c:pt idx="2">
                  <c:v>0.28860000000000002</c:v>
                </c:pt>
                <c:pt idx="3">
                  <c:v>0.2429</c:v>
                </c:pt>
                <c:pt idx="4">
                  <c:v>0.2</c:v>
                </c:pt>
                <c:pt idx="5">
                  <c:v>0.1598</c:v>
                </c:pt>
                <c:pt idx="6">
                  <c:v>0.1303</c:v>
                </c:pt>
                <c:pt idx="7">
                  <c:v>0.1027</c:v>
                </c:pt>
                <c:pt idx="8">
                  <c:v>7.6799999999999993E-2</c:v>
                </c:pt>
                <c:pt idx="9">
                  <c:v>5.2299999999999999E-2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0-44B8-831B-8C016994F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50752"/>
        <c:axId val="149452288"/>
      </c:lineChart>
      <c:catAx>
        <c:axId val="149438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40384"/>
        <c:crosses val="autoZero"/>
        <c:auto val="1"/>
        <c:lblAlgn val="ctr"/>
        <c:lblOffset val="100"/>
        <c:noMultiLvlLbl val="0"/>
      </c:catAx>
      <c:valAx>
        <c:axId val="149440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388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catAx>
        <c:axId val="1494507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49452288"/>
        <c:crosses val="autoZero"/>
        <c:auto val="1"/>
        <c:lblAlgn val="ctr"/>
        <c:lblOffset val="100"/>
        <c:noMultiLvlLbl val="0"/>
      </c:catAx>
      <c:valAx>
        <c:axId val="1494522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50752"/>
        <c:crosses val="max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6205205692572011"/>
          <c:y val="0.89513389497641471"/>
          <c:w val="0.85503797099989365"/>
          <c:h val="0.96506616742837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WPF_Analiza!$D$57</c:f>
              <c:strCache>
                <c:ptCount val="1"/>
                <c:pt idx="0">
                  <c:v>kwota długu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WPF_Analiza!$N$57:$W$57</c:f>
              <c:numCache>
                <c:formatCode>#\ ##0.00_ ;[Red]\-#\ ##0.00\ </c:formatCode>
                <c:ptCount val="10"/>
                <c:pt idx="0">
                  <c:v>18415000</c:v>
                </c:pt>
                <c:pt idx="1">
                  <c:v>17415000</c:v>
                </c:pt>
                <c:pt idx="2">
                  <c:v>15500000</c:v>
                </c:pt>
                <c:pt idx="3">
                  <c:v>13500000</c:v>
                </c:pt>
                <c:pt idx="4">
                  <c:v>11500000</c:v>
                </c:pt>
                <c:pt idx="5">
                  <c:v>9500000</c:v>
                </c:pt>
                <c:pt idx="6">
                  <c:v>8000000</c:v>
                </c:pt>
                <c:pt idx="7">
                  <c:v>6500000</c:v>
                </c:pt>
                <c:pt idx="8">
                  <c:v>5000000</c:v>
                </c:pt>
                <c:pt idx="9">
                  <c:v>3500000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D-4678-8640-91438C36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3920"/>
        <c:axId val="149492096"/>
      </c:barChart>
      <c:lineChart>
        <c:grouping val="standard"/>
        <c:varyColors val="0"/>
        <c:ser>
          <c:idx val="1"/>
          <c:order val="1"/>
          <c:tx>
            <c:strRef>
              <c:f>WPF_Analiza!$D$73</c:f>
              <c:strCache>
                <c:ptCount val="1"/>
                <c:pt idx="0">
                  <c:v>relacja kwoty długu do dochodów ogółem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WPF_Analiza!$N$73:$W$73</c:f>
              <c:numCache>
                <c:formatCode>0.00%</c:formatCode>
                <c:ptCount val="10"/>
                <c:pt idx="0">
                  <c:v>0.30320000000000003</c:v>
                </c:pt>
                <c:pt idx="1">
                  <c:v>0.2364</c:v>
                </c:pt>
                <c:pt idx="2">
                  <c:v>0.28860000000000002</c:v>
                </c:pt>
                <c:pt idx="3">
                  <c:v>0.2429</c:v>
                </c:pt>
                <c:pt idx="4">
                  <c:v>0.2</c:v>
                </c:pt>
                <c:pt idx="5">
                  <c:v>0.1598</c:v>
                </c:pt>
                <c:pt idx="6">
                  <c:v>0.1303</c:v>
                </c:pt>
                <c:pt idx="7">
                  <c:v>0.1027</c:v>
                </c:pt>
                <c:pt idx="8">
                  <c:v>7.6799999999999993E-2</c:v>
                </c:pt>
                <c:pt idx="9">
                  <c:v>5.2299999999999999E-2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D-4678-8640-91438C36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94016"/>
        <c:axId val="149495808"/>
      </c:lineChart>
      <c:catAx>
        <c:axId val="149473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92096"/>
        <c:crosses val="autoZero"/>
        <c:auto val="1"/>
        <c:lblAlgn val="ctr"/>
        <c:lblOffset val="100"/>
        <c:noMultiLvlLbl val="0"/>
      </c:catAx>
      <c:valAx>
        <c:axId val="149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739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catAx>
        <c:axId val="1494940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49495808"/>
        <c:crosses val="autoZero"/>
        <c:auto val="1"/>
        <c:lblAlgn val="ctr"/>
        <c:lblOffset val="100"/>
        <c:noMultiLvlLbl val="0"/>
      </c:catAx>
      <c:valAx>
        <c:axId val="14949580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494016"/>
        <c:crosses val="max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6205205692572011"/>
          <c:y val="0.89513389497641471"/>
          <c:w val="0.85503797099989365"/>
          <c:h val="0.96506616742837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WPF_bazowy!$F$11:$W$11</c:f>
              <c:numCache>
                <c:formatCode>#\ ##0.00_ ;[Red]\-#\ ##0.00\ </c:formatCode>
                <c:ptCount val="18"/>
                <c:pt idx="0">
                  <c:v>33984961.729999997</c:v>
                </c:pt>
                <c:pt idx="1">
                  <c:v>36520043.200000003</c:v>
                </c:pt>
                <c:pt idx="2">
                  <c:v>38046848.75</c:v>
                </c:pt>
                <c:pt idx="3">
                  <c:v>40475097.799999997</c:v>
                </c:pt>
                <c:pt idx="4">
                  <c:v>45325239.009999998</c:v>
                </c:pt>
                <c:pt idx="5">
                  <c:v>47884637.420000002</c:v>
                </c:pt>
                <c:pt idx="6">
                  <c:v>49756342.649999999</c:v>
                </c:pt>
                <c:pt idx="7">
                  <c:v>56377305</c:v>
                </c:pt>
                <c:pt idx="8">
                  <c:v>49912310</c:v>
                </c:pt>
                <c:pt idx="9">
                  <c:v>51408346</c:v>
                </c:pt>
                <c:pt idx="10">
                  <c:v>53207637</c:v>
                </c:pt>
                <c:pt idx="11">
                  <c:v>55069905</c:v>
                </c:pt>
                <c:pt idx="12">
                  <c:v>56997351</c:v>
                </c:pt>
                <c:pt idx="13">
                  <c:v>58935260</c:v>
                </c:pt>
                <c:pt idx="14">
                  <c:v>60880124</c:v>
                </c:pt>
                <c:pt idx="15">
                  <c:v>62767408</c:v>
                </c:pt>
                <c:pt idx="16">
                  <c:v>64587663</c:v>
                </c:pt>
                <c:pt idx="17">
                  <c:v>66396118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8-40D0-A44D-960E6BF93262}"/>
            </c:ext>
          </c:extLst>
        </c:ser>
        <c:ser>
          <c:idx val="1"/>
          <c:order val="1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WPF_bazowy!$F$22:$W$22</c:f>
              <c:numCache>
                <c:formatCode>#\ ##0.00_ ;[Red]\-#\ ##0.00\ </c:formatCode>
                <c:ptCount val="18"/>
                <c:pt idx="0">
                  <c:v>31632400.23</c:v>
                </c:pt>
                <c:pt idx="1">
                  <c:v>32166844.719999999</c:v>
                </c:pt>
                <c:pt idx="2">
                  <c:v>34480864.689999998</c:v>
                </c:pt>
                <c:pt idx="3">
                  <c:v>36229255.329999998</c:v>
                </c:pt>
                <c:pt idx="4">
                  <c:v>39452545.939999998</c:v>
                </c:pt>
                <c:pt idx="5">
                  <c:v>43297686.590000004</c:v>
                </c:pt>
                <c:pt idx="6">
                  <c:v>47636304.649999999</c:v>
                </c:pt>
                <c:pt idx="7">
                  <c:v>47627584.740000002</c:v>
                </c:pt>
                <c:pt idx="8">
                  <c:v>48854045</c:v>
                </c:pt>
                <c:pt idx="9">
                  <c:v>49503492</c:v>
                </c:pt>
                <c:pt idx="10">
                  <c:v>50762353</c:v>
                </c:pt>
                <c:pt idx="11">
                  <c:v>51956372</c:v>
                </c:pt>
                <c:pt idx="12">
                  <c:v>53180446</c:v>
                </c:pt>
                <c:pt idx="13">
                  <c:v>54436717</c:v>
                </c:pt>
                <c:pt idx="14">
                  <c:v>55733965</c:v>
                </c:pt>
                <c:pt idx="15">
                  <c:v>57077015</c:v>
                </c:pt>
                <c:pt idx="16">
                  <c:v>58460737</c:v>
                </c:pt>
                <c:pt idx="17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8-40D0-A44D-960E6BF93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149537536"/>
        <c:axId val="149539072"/>
      </c:lineChart>
      <c:catAx>
        <c:axId val="14953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49539072"/>
        <c:crosses val="autoZero"/>
        <c:auto val="1"/>
        <c:lblAlgn val="ctr"/>
        <c:lblOffset val="100"/>
        <c:noMultiLvlLbl val="0"/>
      </c:catAx>
      <c:valAx>
        <c:axId val="1495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49537536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839129818252838"/>
          <c:y val="0.91455803067351615"/>
          <c:w val="0.23344254751030735"/>
          <c:h val="5.6981851627520896E-2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WPF_bazowy!$N$11:$W$11</c:f>
              <c:numCache>
                <c:formatCode>#\ ##0.00_ ;[Red]\-#\ ##0.00\ </c:formatCode>
                <c:ptCount val="10"/>
                <c:pt idx="0">
                  <c:v>49912310</c:v>
                </c:pt>
                <c:pt idx="1">
                  <c:v>51408346</c:v>
                </c:pt>
                <c:pt idx="2">
                  <c:v>53207637</c:v>
                </c:pt>
                <c:pt idx="3">
                  <c:v>55069905</c:v>
                </c:pt>
                <c:pt idx="4">
                  <c:v>56997351</c:v>
                </c:pt>
                <c:pt idx="5">
                  <c:v>58935260</c:v>
                </c:pt>
                <c:pt idx="6">
                  <c:v>60880124</c:v>
                </c:pt>
                <c:pt idx="7">
                  <c:v>62767408</c:v>
                </c:pt>
                <c:pt idx="8">
                  <c:v>64587663</c:v>
                </c:pt>
                <c:pt idx="9">
                  <c:v>66396118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5-43E0-8276-7DC22374238C}"/>
            </c:ext>
          </c:extLst>
        </c:ser>
        <c:ser>
          <c:idx val="1"/>
          <c:order val="1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WPF_bazowy!$N$18:$W$18</c:f>
              <c:numCache>
                <c:formatCode>#\ ##0.00_ ;[Red]\-#\ ##0.00\ </c:formatCode>
                <c:ptCount val="10"/>
                <c:pt idx="0">
                  <c:v>10814085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5-43E0-8276-7DC22374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60800"/>
        <c:axId val="134862336"/>
      </c:barChart>
      <c:catAx>
        <c:axId val="134860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4862336"/>
        <c:crosses val="autoZero"/>
        <c:auto val="1"/>
        <c:lblAlgn val="ctr"/>
        <c:lblOffset val="100"/>
        <c:noMultiLvlLbl val="0"/>
      </c:catAx>
      <c:valAx>
        <c:axId val="1348623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486080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29425247217232176"/>
          <c:y val="0.9017853294653958"/>
          <c:w val="0.71430854725248893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WPF_Analiza!$D$11</c:f>
              <c:strCache>
                <c:ptCount val="1"/>
                <c:pt idx="0">
                  <c:v>dochody bieżące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WPF_Analiza!$F$11:$W$11</c:f>
              <c:numCache>
                <c:formatCode>#\ ##0.00_ ;[Red]\-#\ ##0.00\ </c:formatCode>
                <c:ptCount val="18"/>
                <c:pt idx="0">
                  <c:v>33984961.729999997</c:v>
                </c:pt>
                <c:pt idx="1">
                  <c:v>36520043.200000003</c:v>
                </c:pt>
                <c:pt idx="2">
                  <c:v>38046848.75</c:v>
                </c:pt>
                <c:pt idx="3">
                  <c:v>40475097.799999997</c:v>
                </c:pt>
                <c:pt idx="4">
                  <c:v>45325239.009999998</c:v>
                </c:pt>
                <c:pt idx="5">
                  <c:v>47884637.420000002</c:v>
                </c:pt>
                <c:pt idx="6">
                  <c:v>49756342.649999999</c:v>
                </c:pt>
                <c:pt idx="7">
                  <c:v>56377305</c:v>
                </c:pt>
                <c:pt idx="8">
                  <c:v>49912310</c:v>
                </c:pt>
                <c:pt idx="9">
                  <c:v>51408346</c:v>
                </c:pt>
                <c:pt idx="10">
                  <c:v>53207637</c:v>
                </c:pt>
                <c:pt idx="11">
                  <c:v>55069905</c:v>
                </c:pt>
                <c:pt idx="12">
                  <c:v>56997351</c:v>
                </c:pt>
                <c:pt idx="13">
                  <c:v>58935260</c:v>
                </c:pt>
                <c:pt idx="14">
                  <c:v>60880124</c:v>
                </c:pt>
                <c:pt idx="15">
                  <c:v>62767408</c:v>
                </c:pt>
                <c:pt idx="16">
                  <c:v>64587663</c:v>
                </c:pt>
                <c:pt idx="17">
                  <c:v>66396118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A-4321-B4B1-E64E5B8358B2}"/>
            </c:ext>
          </c:extLst>
        </c:ser>
        <c:ser>
          <c:idx val="1"/>
          <c:order val="1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WPF_Analiza!$F$22:$W$22</c:f>
              <c:numCache>
                <c:formatCode>#\ ##0.00_ ;[Red]\-#\ ##0.00\ </c:formatCode>
                <c:ptCount val="18"/>
                <c:pt idx="0">
                  <c:v>31632400.23</c:v>
                </c:pt>
                <c:pt idx="1">
                  <c:v>32166844.719999999</c:v>
                </c:pt>
                <c:pt idx="2">
                  <c:v>34480864.689999998</c:v>
                </c:pt>
                <c:pt idx="3">
                  <c:v>36229255.329999998</c:v>
                </c:pt>
                <c:pt idx="4">
                  <c:v>39452545.939999998</c:v>
                </c:pt>
                <c:pt idx="5">
                  <c:v>43297686.590000004</c:v>
                </c:pt>
                <c:pt idx="6">
                  <c:v>47636304.649999999</c:v>
                </c:pt>
                <c:pt idx="7">
                  <c:v>47627584.740000002</c:v>
                </c:pt>
                <c:pt idx="8">
                  <c:v>48854045</c:v>
                </c:pt>
                <c:pt idx="9">
                  <c:v>49503492</c:v>
                </c:pt>
                <c:pt idx="10">
                  <c:v>50762353</c:v>
                </c:pt>
                <c:pt idx="11">
                  <c:v>51956372</c:v>
                </c:pt>
                <c:pt idx="12">
                  <c:v>53180446</c:v>
                </c:pt>
                <c:pt idx="13">
                  <c:v>54436717</c:v>
                </c:pt>
                <c:pt idx="14">
                  <c:v>55733965</c:v>
                </c:pt>
                <c:pt idx="15">
                  <c:v>57077015</c:v>
                </c:pt>
                <c:pt idx="16">
                  <c:v>58460737</c:v>
                </c:pt>
                <c:pt idx="17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A-4321-B4B1-E64E5B835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149588992"/>
        <c:axId val="149590784"/>
      </c:lineChart>
      <c:catAx>
        <c:axId val="149588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49590784"/>
        <c:crosses val="autoZero"/>
        <c:auto val="1"/>
        <c:lblAlgn val="ctr"/>
        <c:lblOffset val="100"/>
        <c:noMultiLvlLbl val="0"/>
      </c:catAx>
      <c:valAx>
        <c:axId val="149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4958899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99557387302147"/>
          <c:y val="0.91455803067351615"/>
          <c:w val="0.23320471906388479"/>
          <c:h val="5.6981851627520896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WPF_bazowy!$D$14</c:f>
              <c:strCache>
                <c:ptCount val="1"/>
                <c:pt idx="0">
                  <c:v>subwencja ogólna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WPF_bazowy!$F$14:$W$14</c:f>
              <c:numCache>
                <c:formatCode>#\ ##0.00_ ;[Red]\-#\ ##0.00\ </c:formatCode>
                <c:ptCount val="18"/>
                <c:pt idx="0">
                  <c:v>13019565</c:v>
                </c:pt>
                <c:pt idx="1">
                  <c:v>12728910</c:v>
                </c:pt>
                <c:pt idx="2">
                  <c:v>12317096</c:v>
                </c:pt>
                <c:pt idx="3">
                  <c:v>12520323</c:v>
                </c:pt>
                <c:pt idx="4">
                  <c:v>13794583</c:v>
                </c:pt>
                <c:pt idx="5">
                  <c:v>14745448</c:v>
                </c:pt>
                <c:pt idx="6">
                  <c:v>15304700</c:v>
                </c:pt>
                <c:pt idx="7">
                  <c:v>17719752</c:v>
                </c:pt>
                <c:pt idx="8">
                  <c:v>15519285</c:v>
                </c:pt>
                <c:pt idx="9">
                  <c:v>16093499</c:v>
                </c:pt>
                <c:pt idx="10">
                  <c:v>16656771</c:v>
                </c:pt>
                <c:pt idx="11">
                  <c:v>17239758</c:v>
                </c:pt>
                <c:pt idx="12">
                  <c:v>17843150</c:v>
                </c:pt>
                <c:pt idx="13">
                  <c:v>18449817</c:v>
                </c:pt>
                <c:pt idx="14">
                  <c:v>19058661</c:v>
                </c:pt>
                <c:pt idx="15">
                  <c:v>19649479</c:v>
                </c:pt>
                <c:pt idx="16">
                  <c:v>20219314</c:v>
                </c:pt>
                <c:pt idx="17">
                  <c:v>20785455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5-4891-B3ED-76506D471765}"/>
            </c:ext>
          </c:extLst>
        </c:ser>
        <c:ser>
          <c:idx val="1"/>
          <c:order val="1"/>
          <c:tx>
            <c:strRef>
              <c:f>WPF_bazowy!$D$12</c:f>
              <c:strCache>
                <c:ptCount val="1"/>
                <c:pt idx="0">
                  <c:v>udziały w PIT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WPF_bazowy!$F$12:$W$12</c:f>
              <c:numCache>
                <c:formatCode>#\ ##0.00_ ;[Red]\-#\ ##0.00\ </c:formatCode>
                <c:ptCount val="18"/>
                <c:pt idx="0">
                  <c:v>9152882</c:v>
                </c:pt>
                <c:pt idx="1">
                  <c:v>10783358</c:v>
                </c:pt>
                <c:pt idx="2">
                  <c:v>11360813</c:v>
                </c:pt>
                <c:pt idx="3">
                  <c:v>13305001</c:v>
                </c:pt>
                <c:pt idx="4">
                  <c:v>15580695</c:v>
                </c:pt>
                <c:pt idx="5">
                  <c:v>15265056</c:v>
                </c:pt>
                <c:pt idx="6">
                  <c:v>15966862</c:v>
                </c:pt>
                <c:pt idx="7">
                  <c:v>17283048</c:v>
                </c:pt>
                <c:pt idx="8">
                  <c:v>15128514</c:v>
                </c:pt>
                <c:pt idx="9">
                  <c:v>15688269</c:v>
                </c:pt>
                <c:pt idx="10">
                  <c:v>16237358</c:v>
                </c:pt>
                <c:pt idx="11">
                  <c:v>16805666</c:v>
                </c:pt>
                <c:pt idx="12">
                  <c:v>17393864</c:v>
                </c:pt>
                <c:pt idx="13">
                  <c:v>17985255</c:v>
                </c:pt>
                <c:pt idx="14">
                  <c:v>18578768</c:v>
                </c:pt>
                <c:pt idx="15">
                  <c:v>19154710</c:v>
                </c:pt>
                <c:pt idx="16">
                  <c:v>19710197</c:v>
                </c:pt>
                <c:pt idx="17">
                  <c:v>20262083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5-4891-B3ED-76506D471765}"/>
            </c:ext>
          </c:extLst>
        </c:ser>
        <c:ser>
          <c:idx val="0"/>
          <c:order val="2"/>
          <c:tx>
            <c:strRef>
              <c:f>WPF_bazowy!$D$17</c:f>
              <c:strCache>
                <c:ptCount val="1"/>
                <c:pt idx="0">
                  <c:v>podatek od nieruchomości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WPF_bazowy!$F$17:$W$17</c:f>
              <c:numCache>
                <c:formatCode>#\ ##0.00_ ;[Red]\-#\ ##0.00\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5-4891-B3ED-76506D471765}"/>
            </c:ext>
          </c:extLst>
        </c:ser>
        <c:ser>
          <c:idx val="2"/>
          <c:order val="3"/>
          <c:tx>
            <c:strRef>
              <c:f>WPF_bazowy!$D$13</c:f>
              <c:strCache>
                <c:ptCount val="1"/>
                <c:pt idx="0">
                  <c:v>udziały w CIT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WPF_bazowy!$F$13:$W$13</c:f>
              <c:numCache>
                <c:formatCode>#\ ##0.00_ ;[Red]\-#\ ##0.00\ </c:formatCode>
                <c:ptCount val="18"/>
                <c:pt idx="0">
                  <c:v>782013.97</c:v>
                </c:pt>
                <c:pt idx="1">
                  <c:v>899040.43</c:v>
                </c:pt>
                <c:pt idx="2">
                  <c:v>904864.39</c:v>
                </c:pt>
                <c:pt idx="3">
                  <c:v>850781.59</c:v>
                </c:pt>
                <c:pt idx="4">
                  <c:v>938919.07</c:v>
                </c:pt>
                <c:pt idx="5">
                  <c:v>1006229.91</c:v>
                </c:pt>
                <c:pt idx="6">
                  <c:v>750000</c:v>
                </c:pt>
                <c:pt idx="7">
                  <c:v>1503525.46</c:v>
                </c:pt>
                <c:pt idx="8">
                  <c:v>1199155</c:v>
                </c:pt>
                <c:pt idx="9">
                  <c:v>1243524</c:v>
                </c:pt>
                <c:pt idx="10">
                  <c:v>1287047</c:v>
                </c:pt>
                <c:pt idx="11">
                  <c:v>1332094</c:v>
                </c:pt>
                <c:pt idx="12">
                  <c:v>1378717</c:v>
                </c:pt>
                <c:pt idx="13">
                  <c:v>1425593</c:v>
                </c:pt>
                <c:pt idx="14">
                  <c:v>1472638</c:v>
                </c:pt>
                <c:pt idx="15">
                  <c:v>1518290</c:v>
                </c:pt>
                <c:pt idx="16">
                  <c:v>1562320</c:v>
                </c:pt>
                <c:pt idx="17">
                  <c:v>1606065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65-4891-B3ED-76506D47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37760"/>
        <c:axId val="149643648"/>
      </c:lineChart>
      <c:catAx>
        <c:axId val="149637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643648"/>
        <c:crosses val="autoZero"/>
        <c:auto val="1"/>
        <c:lblAlgn val="ctr"/>
        <c:lblOffset val="100"/>
        <c:noMultiLvlLbl val="0"/>
      </c:catAx>
      <c:valAx>
        <c:axId val="1496436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6377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25537044335239506"/>
          <c:y val="0.91455803067351615"/>
          <c:w val="0.49541870085442591"/>
          <c:h val="5.6981851627520896E-2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WPF_Analiza!$D$14</c:f>
              <c:strCache>
                <c:ptCount val="1"/>
                <c:pt idx="0">
                  <c:v>subwencja ogólna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WPF_Analiza!$F$14:$W$14</c:f>
              <c:numCache>
                <c:formatCode>#\ ##0.00_ ;[Red]\-#\ ##0.00\ </c:formatCode>
                <c:ptCount val="18"/>
                <c:pt idx="0">
                  <c:v>13019565</c:v>
                </c:pt>
                <c:pt idx="1">
                  <c:v>12728910</c:v>
                </c:pt>
                <c:pt idx="2">
                  <c:v>12317096</c:v>
                </c:pt>
                <c:pt idx="3">
                  <c:v>12520323</c:v>
                </c:pt>
                <c:pt idx="4">
                  <c:v>13794583</c:v>
                </c:pt>
                <c:pt idx="5">
                  <c:v>14745448</c:v>
                </c:pt>
                <c:pt idx="6">
                  <c:v>15304700</c:v>
                </c:pt>
                <c:pt idx="7">
                  <c:v>17719752</c:v>
                </c:pt>
                <c:pt idx="8">
                  <c:v>15519285</c:v>
                </c:pt>
                <c:pt idx="9">
                  <c:v>16093499</c:v>
                </c:pt>
                <c:pt idx="10">
                  <c:v>16656771</c:v>
                </c:pt>
                <c:pt idx="11">
                  <c:v>17239758</c:v>
                </c:pt>
                <c:pt idx="12">
                  <c:v>17843150</c:v>
                </c:pt>
                <c:pt idx="13">
                  <c:v>18449817</c:v>
                </c:pt>
                <c:pt idx="14">
                  <c:v>19058661</c:v>
                </c:pt>
                <c:pt idx="15">
                  <c:v>19649479</c:v>
                </c:pt>
                <c:pt idx="16">
                  <c:v>20219314</c:v>
                </c:pt>
                <c:pt idx="17">
                  <c:v>20785455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5-449E-A120-606FBD55B5EB}"/>
            </c:ext>
          </c:extLst>
        </c:ser>
        <c:ser>
          <c:idx val="1"/>
          <c:order val="1"/>
          <c:tx>
            <c:strRef>
              <c:f>WPF_Analiza!$D$12</c:f>
              <c:strCache>
                <c:ptCount val="1"/>
                <c:pt idx="0">
                  <c:v>udziały w PIT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WPF_Analiza!$F$12:$W$12</c:f>
              <c:numCache>
                <c:formatCode>#\ ##0.00_ ;[Red]\-#\ ##0.00\ </c:formatCode>
                <c:ptCount val="18"/>
                <c:pt idx="0">
                  <c:v>9152882</c:v>
                </c:pt>
                <c:pt idx="1">
                  <c:v>10783358</c:v>
                </c:pt>
                <c:pt idx="2">
                  <c:v>11360813</c:v>
                </c:pt>
                <c:pt idx="3">
                  <c:v>13305001</c:v>
                </c:pt>
                <c:pt idx="4">
                  <c:v>15580695</c:v>
                </c:pt>
                <c:pt idx="5">
                  <c:v>15265056</c:v>
                </c:pt>
                <c:pt idx="6">
                  <c:v>15966862</c:v>
                </c:pt>
                <c:pt idx="7">
                  <c:v>17283048</c:v>
                </c:pt>
                <c:pt idx="8">
                  <c:v>15128514</c:v>
                </c:pt>
                <c:pt idx="9">
                  <c:v>15688269</c:v>
                </c:pt>
                <c:pt idx="10">
                  <c:v>16237358</c:v>
                </c:pt>
                <c:pt idx="11">
                  <c:v>16805666</c:v>
                </c:pt>
                <c:pt idx="12">
                  <c:v>17393864</c:v>
                </c:pt>
                <c:pt idx="13">
                  <c:v>17985255</c:v>
                </c:pt>
                <c:pt idx="14">
                  <c:v>18578768</c:v>
                </c:pt>
                <c:pt idx="15">
                  <c:v>19154710</c:v>
                </c:pt>
                <c:pt idx="16">
                  <c:v>19710197</c:v>
                </c:pt>
                <c:pt idx="17">
                  <c:v>20262083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5-449E-A120-606FBD55B5EB}"/>
            </c:ext>
          </c:extLst>
        </c:ser>
        <c:ser>
          <c:idx val="0"/>
          <c:order val="2"/>
          <c:tx>
            <c:strRef>
              <c:f>WPF_Analiza!$D$17</c:f>
              <c:strCache>
                <c:ptCount val="1"/>
                <c:pt idx="0">
                  <c:v>podatek od nieruchomości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WPF_Analiza!$F$17:$W$17</c:f>
              <c:numCache>
                <c:formatCode>#\ ##0.00_ ;[Red]\-#\ ##0.00\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5-449E-A120-606FBD55B5EB}"/>
            </c:ext>
          </c:extLst>
        </c:ser>
        <c:ser>
          <c:idx val="2"/>
          <c:order val="3"/>
          <c:tx>
            <c:strRef>
              <c:f>WPF_Analiza!$D$13</c:f>
              <c:strCache>
                <c:ptCount val="1"/>
                <c:pt idx="0">
                  <c:v>udziały w CIT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WPF_Analiza!$F$13:$W$13</c:f>
              <c:numCache>
                <c:formatCode>#\ ##0.00_ ;[Red]\-#\ ##0.00\ </c:formatCode>
                <c:ptCount val="18"/>
                <c:pt idx="0">
                  <c:v>782013.97</c:v>
                </c:pt>
                <c:pt idx="1">
                  <c:v>899040.43</c:v>
                </c:pt>
                <c:pt idx="2">
                  <c:v>904864.39</c:v>
                </c:pt>
                <c:pt idx="3">
                  <c:v>850781.59</c:v>
                </c:pt>
                <c:pt idx="4">
                  <c:v>938919.07</c:v>
                </c:pt>
                <c:pt idx="5">
                  <c:v>1006229.91</c:v>
                </c:pt>
                <c:pt idx="6">
                  <c:v>750000</c:v>
                </c:pt>
                <c:pt idx="7">
                  <c:v>1503525.46</c:v>
                </c:pt>
                <c:pt idx="8">
                  <c:v>1199155</c:v>
                </c:pt>
                <c:pt idx="9">
                  <c:v>1243524</c:v>
                </c:pt>
                <c:pt idx="10">
                  <c:v>1287047</c:v>
                </c:pt>
                <c:pt idx="11">
                  <c:v>1332094</c:v>
                </c:pt>
                <c:pt idx="12">
                  <c:v>1378717</c:v>
                </c:pt>
                <c:pt idx="13">
                  <c:v>1425593</c:v>
                </c:pt>
                <c:pt idx="14">
                  <c:v>1472638</c:v>
                </c:pt>
                <c:pt idx="15">
                  <c:v>1518290</c:v>
                </c:pt>
                <c:pt idx="16">
                  <c:v>1562320</c:v>
                </c:pt>
                <c:pt idx="17">
                  <c:v>1606065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A5-449E-A120-606FBD55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82432"/>
        <c:axId val="149688320"/>
      </c:lineChart>
      <c:catAx>
        <c:axId val="149682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688320"/>
        <c:crosses val="autoZero"/>
        <c:auto val="1"/>
        <c:lblAlgn val="ctr"/>
        <c:lblOffset val="100"/>
        <c:noMultiLvlLbl val="0"/>
      </c:catAx>
      <c:valAx>
        <c:axId val="1496883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68243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2588911360699202"/>
          <c:y val="0.91455803067351615"/>
          <c:w val="0.49240092196597263"/>
          <c:h val="5.6981851627520896E-2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WPF_bazowy!$N$22:$W$22</c:f>
              <c:numCache>
                <c:formatCode>#\ ##0.00_ ;[Red]\-#\ ##0.00\ </c:formatCode>
                <c:ptCount val="10"/>
                <c:pt idx="0">
                  <c:v>48854045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F-426A-AA0C-4892F8341581}"/>
            </c:ext>
          </c:extLst>
        </c:ser>
        <c:ser>
          <c:idx val="1"/>
          <c:order val="1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WPF_bazowy!$N$30:$W$30</c:f>
              <c:numCache>
                <c:formatCode>#\ ##0.00_ ;[Red]\-#\ ##0.00\ </c:formatCode>
                <c:ptCount val="10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F-426A-AA0C-4892F834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469248"/>
        <c:axId val="148470784"/>
      </c:barChart>
      <c:catAx>
        <c:axId val="148469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470784"/>
        <c:crosses val="autoZero"/>
        <c:auto val="1"/>
        <c:lblAlgn val="ctr"/>
        <c:lblOffset val="100"/>
        <c:noMultiLvlLbl val="0"/>
      </c:catAx>
      <c:valAx>
        <c:axId val="14847078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4692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30064928451107792"/>
          <c:y val="0.9017853294653958"/>
          <c:w val="0.70151492257497661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WPF_bazowy!$N$22:$W$22</c:f>
              <c:numCache>
                <c:formatCode>#\ ##0.00_ ;[Red]\-#\ ##0.00\ </c:formatCode>
                <c:ptCount val="10"/>
                <c:pt idx="0">
                  <c:v>48854045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6-47DC-A76E-9F8F911D1FF7}"/>
            </c:ext>
          </c:extLst>
        </c:ser>
        <c:ser>
          <c:idx val="1"/>
          <c:order val="1"/>
          <c:tx>
            <c:strRef>
              <c:f>WPF_bazowy!$D$23</c:f>
              <c:strCache>
                <c:ptCount val="1"/>
                <c:pt idx="0">
                  <c:v>wydatki na wynagrodzenia i pochodne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WPF_bazowy!$N$23:$W$23</c:f>
              <c:numCache>
                <c:formatCode>#\ ##0.00_ ;[Red]\-#\ ##0.00\ </c:formatCode>
                <c:ptCount val="10"/>
                <c:pt idx="0">
                  <c:v>31180276</c:v>
                </c:pt>
                <c:pt idx="1">
                  <c:v>32064184</c:v>
                </c:pt>
                <c:pt idx="2">
                  <c:v>32929917</c:v>
                </c:pt>
                <c:pt idx="3">
                  <c:v>33753165</c:v>
                </c:pt>
                <c:pt idx="4">
                  <c:v>34596994</c:v>
                </c:pt>
                <c:pt idx="5">
                  <c:v>35461919</c:v>
                </c:pt>
                <c:pt idx="6">
                  <c:v>36348467</c:v>
                </c:pt>
                <c:pt idx="7">
                  <c:v>37257179</c:v>
                </c:pt>
                <c:pt idx="8">
                  <c:v>38188608</c:v>
                </c:pt>
                <c:pt idx="9">
                  <c:v>39143323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6-47DC-A76E-9F8F911D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479360"/>
        <c:axId val="148501632"/>
      </c:lineChart>
      <c:catAx>
        <c:axId val="148479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501632"/>
        <c:crosses val="autoZero"/>
        <c:auto val="1"/>
        <c:lblAlgn val="ctr"/>
        <c:lblOffset val="100"/>
        <c:noMultiLvlLbl val="0"/>
      </c:catAx>
      <c:valAx>
        <c:axId val="14850163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4793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5991986076367321"/>
          <c:y val="0.8936479216693658"/>
          <c:w val="0.85930258717660291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WPF_bazowy!$N$30:$X$30</c:f>
              <c:numCache>
                <c:formatCode>#\ ##0.00_ ;[Red]\-#\ ##0.00\ </c:formatCode>
                <c:ptCount val="11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  <c:pt idx="10">
                  <c:v>5111826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3C8-97F0-15FFBA88F2BC}"/>
            </c:ext>
          </c:extLst>
        </c:ser>
        <c:ser>
          <c:idx val="0"/>
          <c:order val="1"/>
          <c:tx>
            <c:strRef>
              <c:f>WPF_bazowy!$D$93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WPF_bazowy!$N$93:$W$93</c:f>
              <c:numCache>
                <c:formatCode>#\ ##0.00_ ;[Red]\-#\ ##0.00\ </c:formatCode>
                <c:ptCount val="10"/>
                <c:pt idx="0">
                  <c:v>7230000</c:v>
                </c:pt>
                <c:pt idx="1">
                  <c:v>22887000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E-43C8-97F0-15FFBA88F2BC}"/>
            </c:ext>
          </c:extLst>
        </c:ser>
        <c:ser>
          <c:idx val="1"/>
          <c:order val="2"/>
          <c:tx>
            <c:strRef>
              <c:f>WPF_bazowy!$D$92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WPF_bazowy!$N$92:$W$92</c:f>
              <c:numCache>
                <c:formatCode>#\ ##0.00_ ;[Red]\-#\ ##0.00\ </c:formatCode>
                <c:ptCount val="10"/>
                <c:pt idx="0">
                  <c:v>2303117</c:v>
                </c:pt>
                <c:pt idx="1">
                  <c:v>418220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CE-43C8-97F0-15FFBA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01792"/>
        <c:axId val="148811776"/>
      </c:lineChart>
      <c:catAx>
        <c:axId val="148801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11776"/>
        <c:crosses val="autoZero"/>
        <c:auto val="1"/>
        <c:lblAlgn val="ctr"/>
        <c:lblOffset val="100"/>
        <c:noMultiLvlLbl val="0"/>
      </c:catAx>
      <c:valAx>
        <c:axId val="14881177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0179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5.7571087196190029E-2"/>
          <c:y val="0.90529410139522026"/>
          <c:w val="0.95098993222862083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WPF_bazowy!$D$47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WPF_bazowy!$N$9:$X$9</c:f>
              <c:numCache>
                <c:formatCode>0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WPF_bazowy!$N$47:$W$47</c:f>
              <c:numCache>
                <c:formatCode>#\ ##0.00_ ;[Red]\-#\ ##0.00\ </c:formatCode>
                <c:ptCount val="10"/>
                <c:pt idx="0">
                  <c:v>0</c:v>
                </c:pt>
                <c:pt idx="1">
                  <c:v>2000000</c:v>
                </c:pt>
                <c:pt idx="2">
                  <c:v>1915000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C-430E-88C7-57A33BF8413E}"/>
            </c:ext>
          </c:extLst>
        </c:ser>
        <c:ser>
          <c:idx val="2"/>
          <c:order val="2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WPF_bazowy!$N$30:$W$30</c:f>
              <c:numCache>
                <c:formatCode>#\ ##0.00_ ;[Red]\-#\ ##0.00\ </c:formatCode>
                <c:ptCount val="10"/>
                <c:pt idx="0">
                  <c:v>26534888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C-430E-88C7-57A33BF8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841984"/>
        <c:axId val="148843520"/>
      </c:barChart>
      <c:lineChart>
        <c:grouping val="standard"/>
        <c:varyColors val="0"/>
        <c:ser>
          <c:idx val="0"/>
          <c:order val="0"/>
          <c:tx>
            <c:strRef>
              <c:f>WPF_bazowy!$D$60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WPF_bazowy!$N$60:$W$60</c:f>
              <c:numCache>
                <c:formatCode>#\ ##0.00_ ;[Red]\-#\ ##0.00\ </c:formatCode>
                <c:ptCount val="10"/>
                <c:pt idx="0">
                  <c:v>1058265</c:v>
                </c:pt>
                <c:pt idx="1">
                  <c:v>1904854</c:v>
                </c:pt>
                <c:pt idx="2">
                  <c:v>2445284</c:v>
                </c:pt>
                <c:pt idx="3">
                  <c:v>3113533</c:v>
                </c:pt>
                <c:pt idx="4">
                  <c:v>3816905</c:v>
                </c:pt>
                <c:pt idx="5">
                  <c:v>4498543</c:v>
                </c:pt>
                <c:pt idx="6">
                  <c:v>5146159</c:v>
                </c:pt>
                <c:pt idx="7">
                  <c:v>5690393</c:v>
                </c:pt>
                <c:pt idx="8">
                  <c:v>6126926</c:v>
                </c:pt>
                <c:pt idx="9">
                  <c:v>6514120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C-430E-88C7-57A33BF8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1984"/>
        <c:axId val="148843520"/>
      </c:lineChart>
      <c:catAx>
        <c:axId val="148841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43520"/>
        <c:crosses val="autoZero"/>
        <c:auto val="1"/>
        <c:lblAlgn val="ctr"/>
        <c:lblOffset val="100"/>
        <c:noMultiLvlLbl val="0"/>
      </c:catAx>
      <c:valAx>
        <c:axId val="1488435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419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6.1835703372899287E-2"/>
          <c:y val="0.90880287332504484"/>
          <c:w val="0.94672531605191157"/>
          <c:h val="0.964945066077266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WPF_bazowy!$D$69</c:f>
              <c:strCache>
                <c:ptCount val="1"/>
                <c:pt idx="0">
                  <c:v>średnia z art. 243 (plan III kw N-1)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WPF_bazowy!$N$69:$W$69</c:f>
              <c:numCache>
                <c:formatCode>0.00%</c:formatCode>
                <c:ptCount val="10"/>
                <c:pt idx="0">
                  <c:v>0.14810000000000001</c:v>
                </c:pt>
                <c:pt idx="1">
                  <c:v>0.13919999999999999</c:v>
                </c:pt>
                <c:pt idx="2">
                  <c:v>0.1249</c:v>
                </c:pt>
                <c:pt idx="3">
                  <c:v>0.11559999999999999</c:v>
                </c:pt>
                <c:pt idx="4">
                  <c:v>0.10050000000000001</c:v>
                </c:pt>
                <c:pt idx="5">
                  <c:v>8.8400000000000006E-2</c:v>
                </c:pt>
                <c:pt idx="6">
                  <c:v>8.3299999999999999E-2</c:v>
                </c:pt>
                <c:pt idx="7">
                  <c:v>8.9300000000000004E-2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8-4888-B0FB-91E0DE2B1AB5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WPF_bazowy!$N$63:$W$63</c:f>
              <c:numCache>
                <c:formatCode>0.00%</c:formatCode>
                <c:ptCount val="10"/>
                <c:pt idx="0">
                  <c:v>9.7999999999999997E-3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8-4888-B0FB-91E0DE2B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59904"/>
        <c:axId val="148886272"/>
      </c:lineChart>
      <c:catAx>
        <c:axId val="148859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86272"/>
        <c:crosses val="autoZero"/>
        <c:auto val="1"/>
        <c:lblAlgn val="ctr"/>
        <c:lblOffset val="100"/>
        <c:noMultiLvlLbl val="0"/>
      </c:catAx>
      <c:valAx>
        <c:axId val="148886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8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8977150244279167"/>
          <c:y val="0.89476741723074094"/>
          <c:w val="0.810260508481216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WPF_bazowy!$D$70</c:f>
              <c:strCache>
                <c:ptCount val="1"/>
                <c:pt idx="0">
                  <c:v>średnia z art. 243 (wykonanie IV kw N-1)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WPF_bazowy!$N$70:$W$70</c:f>
              <c:numCache>
                <c:formatCode>0.00%</c:formatCode>
                <c:ptCount val="10"/>
                <c:pt idx="0">
                  <c:v>0.1769</c:v>
                </c:pt>
                <c:pt idx="1">
                  <c:v>0.16789999999999999</c:v>
                </c:pt>
                <c:pt idx="2">
                  <c:v>0.15359999999999999</c:v>
                </c:pt>
                <c:pt idx="3">
                  <c:v>0.1444</c:v>
                </c:pt>
                <c:pt idx="4">
                  <c:v>0.11749999999999999</c:v>
                </c:pt>
                <c:pt idx="5">
                  <c:v>0.10539999999999999</c:v>
                </c:pt>
                <c:pt idx="6">
                  <c:v>0.1003</c:v>
                </c:pt>
                <c:pt idx="7">
                  <c:v>8.9300000000000004E-2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0-4CE1-85DF-5AE4A4D840A4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WPF_bazowy!$N$63:$W$63</c:f>
              <c:numCache>
                <c:formatCode>0.00%</c:formatCode>
                <c:ptCount val="10"/>
                <c:pt idx="0">
                  <c:v>9.7999999999999997E-3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0-4CE1-85DF-5AE4A4D8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10848"/>
        <c:axId val="148912384"/>
      </c:lineChart>
      <c:catAx>
        <c:axId val="148910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12384"/>
        <c:crosses val="autoZero"/>
        <c:auto val="1"/>
        <c:lblAlgn val="ctr"/>
        <c:lblOffset val="100"/>
        <c:noMultiLvlLbl val="0"/>
      </c:catAx>
      <c:valAx>
        <c:axId val="148912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1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5565524458696395"/>
          <c:y val="0.89476741723074094"/>
          <c:w val="0.84437654248442828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WPF_Analiza!$N$18:$W$18</c:f>
              <c:numCache>
                <c:formatCode>#\ ##0.00_ ;[Red]\-#\ ##0.00\ </c:formatCode>
                <c:ptCount val="10"/>
                <c:pt idx="0">
                  <c:v>10814085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3-4A58-B71F-5997ADA33BDD}"/>
            </c:ext>
          </c:extLst>
        </c:ser>
        <c:ser>
          <c:idx val="1"/>
          <c:order val="1"/>
          <c:tx>
            <c:strRef>
              <c:f>WPF_Analiza!$D$19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WPF_Analiza!$N$19:$X$19</c:f>
              <c:numCache>
                <c:formatCode>#\ ##0.00_ ;[Red]\-#\ ##0.00\ </c:formatCode>
                <c:ptCount val="11"/>
                <c:pt idx="0">
                  <c:v>29000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3-4A58-B71F-5997ADA33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36960"/>
        <c:axId val="148942848"/>
      </c:lineChart>
      <c:catAx>
        <c:axId val="148936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42848"/>
        <c:crosses val="autoZero"/>
        <c:auto val="1"/>
        <c:lblAlgn val="ctr"/>
        <c:lblOffset val="100"/>
        <c:noMultiLvlLbl val="0"/>
      </c:catAx>
      <c:valAx>
        <c:axId val="1489428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89369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7697787776527935"/>
          <c:y val="0.8936479216693658"/>
          <c:w val="0.84437654248442828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357187</xdr:colOff>
      <xdr:row>312</xdr:row>
      <xdr:rowOff>47625</xdr:rowOff>
    </xdr:from>
    <xdr:to>
      <xdr:col>21</xdr:col>
      <xdr:colOff>226218</xdr:colOff>
      <xdr:row>325</xdr:row>
      <xdr:rowOff>154781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0BBD1DB-050B-446D-AE1C-92A609BF231E}"/>
            </a:ext>
          </a:extLst>
        </xdr:cNvPr>
        <xdr:cNvSpPr txBox="1"/>
      </xdr:nvSpPr>
      <xdr:spPr>
        <a:xfrm>
          <a:off x="10525125" y="67163156"/>
          <a:ext cx="4155281" cy="242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 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 – głosował “ZA” w formie zdalnej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58</xdr:row>
      <xdr:rowOff>0</xdr:rowOff>
    </xdr:from>
    <xdr:to>
      <xdr:col>7</xdr:col>
      <xdr:colOff>514350</xdr:colOff>
      <xdr:row>72</xdr:row>
      <xdr:rowOff>152400</xdr:rowOff>
    </xdr:to>
    <xdr:graphicFrame macro="">
      <xdr:nvGraphicFramePr>
        <xdr:cNvPr id="6407665" name="Wykres 1">
          <a:extLst>
            <a:ext uri="{FF2B5EF4-FFF2-40B4-BE49-F238E27FC236}">
              <a16:creationId xmlns:a16="http://schemas.microsoft.com/office/drawing/2014/main" id="{00000000-0008-0000-0500-0000F1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41</xdr:row>
      <xdr:rowOff>133350</xdr:rowOff>
    </xdr:from>
    <xdr:to>
      <xdr:col>7</xdr:col>
      <xdr:colOff>504825</xdr:colOff>
      <xdr:row>56</xdr:row>
      <xdr:rowOff>133350</xdr:rowOff>
    </xdr:to>
    <xdr:graphicFrame macro="">
      <xdr:nvGraphicFramePr>
        <xdr:cNvPr id="6407666" name="Wykres 2">
          <a:extLst>
            <a:ext uri="{FF2B5EF4-FFF2-40B4-BE49-F238E27FC236}">
              <a16:creationId xmlns:a16="http://schemas.microsoft.com/office/drawing/2014/main" id="{00000000-0008-0000-0500-0000F2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41</xdr:row>
      <xdr:rowOff>133350</xdr:rowOff>
    </xdr:from>
    <xdr:to>
      <xdr:col>15</xdr:col>
      <xdr:colOff>485775</xdr:colOff>
      <xdr:row>56</xdr:row>
      <xdr:rowOff>133350</xdr:rowOff>
    </xdr:to>
    <xdr:graphicFrame macro="">
      <xdr:nvGraphicFramePr>
        <xdr:cNvPr id="6407667" name="Wykres 3">
          <a:extLst>
            <a:ext uri="{FF2B5EF4-FFF2-40B4-BE49-F238E27FC236}">
              <a16:creationId xmlns:a16="http://schemas.microsoft.com/office/drawing/2014/main" id="{00000000-0008-0000-0500-0000F3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58</xdr:row>
      <xdr:rowOff>0</xdr:rowOff>
    </xdr:from>
    <xdr:to>
      <xdr:col>15</xdr:col>
      <xdr:colOff>485775</xdr:colOff>
      <xdr:row>72</xdr:row>
      <xdr:rowOff>152400</xdr:rowOff>
    </xdr:to>
    <xdr:graphicFrame macro="">
      <xdr:nvGraphicFramePr>
        <xdr:cNvPr id="6407668" name="Wykres 4">
          <a:extLst>
            <a:ext uri="{FF2B5EF4-FFF2-40B4-BE49-F238E27FC236}">
              <a16:creationId xmlns:a16="http://schemas.microsoft.com/office/drawing/2014/main" id="{00000000-0008-0000-0500-0000F4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74</xdr:row>
      <xdr:rowOff>95250</xdr:rowOff>
    </xdr:from>
    <xdr:to>
      <xdr:col>15</xdr:col>
      <xdr:colOff>485775</xdr:colOff>
      <xdr:row>89</xdr:row>
      <xdr:rowOff>95250</xdr:rowOff>
    </xdr:to>
    <xdr:graphicFrame macro="">
      <xdr:nvGraphicFramePr>
        <xdr:cNvPr id="6407669" name="Wykres 6">
          <a:extLst>
            <a:ext uri="{FF2B5EF4-FFF2-40B4-BE49-F238E27FC236}">
              <a16:creationId xmlns:a16="http://schemas.microsoft.com/office/drawing/2014/main" id="{00000000-0008-0000-0500-0000F5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74</xdr:row>
      <xdr:rowOff>95250</xdr:rowOff>
    </xdr:from>
    <xdr:to>
      <xdr:col>7</xdr:col>
      <xdr:colOff>523875</xdr:colOff>
      <xdr:row>89</xdr:row>
      <xdr:rowOff>95250</xdr:rowOff>
    </xdr:to>
    <xdr:graphicFrame macro="">
      <xdr:nvGraphicFramePr>
        <xdr:cNvPr id="6407670" name="Wykres 7">
          <a:extLst>
            <a:ext uri="{FF2B5EF4-FFF2-40B4-BE49-F238E27FC236}">
              <a16:creationId xmlns:a16="http://schemas.microsoft.com/office/drawing/2014/main" id="{00000000-0008-0000-0500-0000F6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91</xdr:row>
      <xdr:rowOff>47625</xdr:rowOff>
    </xdr:from>
    <xdr:to>
      <xdr:col>7</xdr:col>
      <xdr:colOff>504825</xdr:colOff>
      <xdr:row>106</xdr:row>
      <xdr:rowOff>47625</xdr:rowOff>
    </xdr:to>
    <xdr:graphicFrame macro="">
      <xdr:nvGraphicFramePr>
        <xdr:cNvPr id="6407671" name="Wykres 10">
          <a:extLst>
            <a:ext uri="{FF2B5EF4-FFF2-40B4-BE49-F238E27FC236}">
              <a16:creationId xmlns:a16="http://schemas.microsoft.com/office/drawing/2014/main" id="{00000000-0008-0000-0500-0000F7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</xdr:colOff>
      <xdr:row>91</xdr:row>
      <xdr:rowOff>57150</xdr:rowOff>
    </xdr:from>
    <xdr:to>
      <xdr:col>15</xdr:col>
      <xdr:colOff>485775</xdr:colOff>
      <xdr:row>106</xdr:row>
      <xdr:rowOff>57150</xdr:rowOff>
    </xdr:to>
    <xdr:graphicFrame macro="">
      <xdr:nvGraphicFramePr>
        <xdr:cNvPr id="6407672" name="Wykres 10">
          <a:extLst>
            <a:ext uri="{FF2B5EF4-FFF2-40B4-BE49-F238E27FC236}">
              <a16:creationId xmlns:a16="http://schemas.microsoft.com/office/drawing/2014/main" id="{00000000-0008-0000-0500-0000F8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58</xdr:row>
      <xdr:rowOff>0</xdr:rowOff>
    </xdr:from>
    <xdr:to>
      <xdr:col>23</xdr:col>
      <xdr:colOff>514350</xdr:colOff>
      <xdr:row>72</xdr:row>
      <xdr:rowOff>152400</xdr:rowOff>
    </xdr:to>
    <xdr:graphicFrame macro="">
      <xdr:nvGraphicFramePr>
        <xdr:cNvPr id="6407673" name="Wykres 1">
          <a:extLst>
            <a:ext uri="{FF2B5EF4-FFF2-40B4-BE49-F238E27FC236}">
              <a16:creationId xmlns:a16="http://schemas.microsoft.com/office/drawing/2014/main" id="{00000000-0008-0000-0500-0000F9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28575</xdr:colOff>
      <xdr:row>41</xdr:row>
      <xdr:rowOff>133350</xdr:rowOff>
    </xdr:from>
    <xdr:to>
      <xdr:col>23</xdr:col>
      <xdr:colOff>495300</xdr:colOff>
      <xdr:row>56</xdr:row>
      <xdr:rowOff>133350</xdr:rowOff>
    </xdr:to>
    <xdr:graphicFrame macro="">
      <xdr:nvGraphicFramePr>
        <xdr:cNvPr id="6407674" name="Wykres 2">
          <a:extLst>
            <a:ext uri="{FF2B5EF4-FFF2-40B4-BE49-F238E27FC236}">
              <a16:creationId xmlns:a16="http://schemas.microsoft.com/office/drawing/2014/main" id="{00000000-0008-0000-0500-0000FA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76200</xdr:colOff>
      <xdr:row>41</xdr:row>
      <xdr:rowOff>133350</xdr:rowOff>
    </xdr:from>
    <xdr:to>
      <xdr:col>31</xdr:col>
      <xdr:colOff>542925</xdr:colOff>
      <xdr:row>56</xdr:row>
      <xdr:rowOff>133350</xdr:rowOff>
    </xdr:to>
    <xdr:graphicFrame macro="">
      <xdr:nvGraphicFramePr>
        <xdr:cNvPr id="6407675" name="Wykres 3">
          <a:extLst>
            <a:ext uri="{FF2B5EF4-FFF2-40B4-BE49-F238E27FC236}">
              <a16:creationId xmlns:a16="http://schemas.microsoft.com/office/drawing/2014/main" id="{00000000-0008-0000-0500-0000FB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57150</xdr:colOff>
      <xdr:row>58</xdr:row>
      <xdr:rowOff>0</xdr:rowOff>
    </xdr:from>
    <xdr:to>
      <xdr:col>31</xdr:col>
      <xdr:colOff>533400</xdr:colOff>
      <xdr:row>72</xdr:row>
      <xdr:rowOff>152400</xdr:rowOff>
    </xdr:to>
    <xdr:graphicFrame macro="">
      <xdr:nvGraphicFramePr>
        <xdr:cNvPr id="6407676" name="Wykres 4">
          <a:extLst>
            <a:ext uri="{FF2B5EF4-FFF2-40B4-BE49-F238E27FC236}">
              <a16:creationId xmlns:a16="http://schemas.microsoft.com/office/drawing/2014/main" id="{00000000-0008-0000-0500-0000FC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57150</xdr:colOff>
      <xdr:row>74</xdr:row>
      <xdr:rowOff>95250</xdr:rowOff>
    </xdr:from>
    <xdr:to>
      <xdr:col>31</xdr:col>
      <xdr:colOff>533400</xdr:colOff>
      <xdr:row>89</xdr:row>
      <xdr:rowOff>95250</xdr:rowOff>
    </xdr:to>
    <xdr:graphicFrame macro="">
      <xdr:nvGraphicFramePr>
        <xdr:cNvPr id="6407677" name="Wykres 6">
          <a:extLst>
            <a:ext uri="{FF2B5EF4-FFF2-40B4-BE49-F238E27FC236}">
              <a16:creationId xmlns:a16="http://schemas.microsoft.com/office/drawing/2014/main" id="{00000000-0008-0000-0500-0000FD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57150</xdr:colOff>
      <xdr:row>74</xdr:row>
      <xdr:rowOff>95250</xdr:rowOff>
    </xdr:from>
    <xdr:to>
      <xdr:col>23</xdr:col>
      <xdr:colOff>523875</xdr:colOff>
      <xdr:row>89</xdr:row>
      <xdr:rowOff>95250</xdr:rowOff>
    </xdr:to>
    <xdr:graphicFrame macro="">
      <xdr:nvGraphicFramePr>
        <xdr:cNvPr id="6407678" name="Wykres 7">
          <a:extLst>
            <a:ext uri="{FF2B5EF4-FFF2-40B4-BE49-F238E27FC236}">
              <a16:creationId xmlns:a16="http://schemas.microsoft.com/office/drawing/2014/main" id="{00000000-0008-0000-0500-0000FE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28575</xdr:colOff>
      <xdr:row>91</xdr:row>
      <xdr:rowOff>66675</xdr:rowOff>
    </xdr:from>
    <xdr:to>
      <xdr:col>23</xdr:col>
      <xdr:colOff>495300</xdr:colOff>
      <xdr:row>106</xdr:row>
      <xdr:rowOff>66675</xdr:rowOff>
    </xdr:to>
    <xdr:graphicFrame macro="">
      <xdr:nvGraphicFramePr>
        <xdr:cNvPr id="6407679" name="Wykres 10">
          <a:extLst>
            <a:ext uri="{FF2B5EF4-FFF2-40B4-BE49-F238E27FC236}">
              <a16:creationId xmlns:a16="http://schemas.microsoft.com/office/drawing/2014/main" id="{00000000-0008-0000-0500-0000FF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57150</xdr:colOff>
      <xdr:row>91</xdr:row>
      <xdr:rowOff>66675</xdr:rowOff>
    </xdr:from>
    <xdr:to>
      <xdr:col>31</xdr:col>
      <xdr:colOff>533400</xdr:colOff>
      <xdr:row>106</xdr:row>
      <xdr:rowOff>66675</xdr:rowOff>
    </xdr:to>
    <xdr:graphicFrame macro="">
      <xdr:nvGraphicFramePr>
        <xdr:cNvPr id="6407680" name="Wykres 10">
          <a:extLst>
            <a:ext uri="{FF2B5EF4-FFF2-40B4-BE49-F238E27FC236}">
              <a16:creationId xmlns:a16="http://schemas.microsoft.com/office/drawing/2014/main" id="{00000000-0008-0000-0500-000000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57150</xdr:colOff>
      <xdr:row>107</xdr:row>
      <xdr:rowOff>38100</xdr:rowOff>
    </xdr:from>
    <xdr:to>
      <xdr:col>7</xdr:col>
      <xdr:colOff>523875</xdr:colOff>
      <xdr:row>122</xdr:row>
      <xdr:rowOff>38100</xdr:rowOff>
    </xdr:to>
    <xdr:graphicFrame macro="">
      <xdr:nvGraphicFramePr>
        <xdr:cNvPr id="6407681" name="Wykres 10">
          <a:extLst>
            <a:ext uri="{FF2B5EF4-FFF2-40B4-BE49-F238E27FC236}">
              <a16:creationId xmlns:a16="http://schemas.microsoft.com/office/drawing/2014/main" id="{00000000-0008-0000-0500-000001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47625</xdr:colOff>
      <xdr:row>107</xdr:row>
      <xdr:rowOff>38100</xdr:rowOff>
    </xdr:from>
    <xdr:to>
      <xdr:col>23</xdr:col>
      <xdr:colOff>514350</xdr:colOff>
      <xdr:row>122</xdr:row>
      <xdr:rowOff>38100</xdr:rowOff>
    </xdr:to>
    <xdr:graphicFrame macro="">
      <xdr:nvGraphicFramePr>
        <xdr:cNvPr id="6407682" name="Wykres 10">
          <a:extLst>
            <a:ext uri="{FF2B5EF4-FFF2-40B4-BE49-F238E27FC236}">
              <a16:creationId xmlns:a16="http://schemas.microsoft.com/office/drawing/2014/main" id="{00000000-0008-0000-0500-000002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57150</xdr:colOff>
      <xdr:row>2</xdr:row>
      <xdr:rowOff>47625</xdr:rowOff>
    </xdr:from>
    <xdr:to>
      <xdr:col>15</xdr:col>
      <xdr:colOff>523875</xdr:colOff>
      <xdr:row>20</xdr:row>
      <xdr:rowOff>133350</xdr:rowOff>
    </xdr:to>
    <xdr:graphicFrame macro="">
      <xdr:nvGraphicFramePr>
        <xdr:cNvPr id="6407683" name="Wykres 1">
          <a:extLst>
            <a:ext uri="{FF2B5EF4-FFF2-40B4-BE49-F238E27FC236}">
              <a16:creationId xmlns:a16="http://schemas.microsoft.com/office/drawing/2014/main" id="{00000000-0008-0000-0500-000003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57150</xdr:colOff>
      <xdr:row>2</xdr:row>
      <xdr:rowOff>47625</xdr:rowOff>
    </xdr:from>
    <xdr:to>
      <xdr:col>31</xdr:col>
      <xdr:colOff>533400</xdr:colOff>
      <xdr:row>20</xdr:row>
      <xdr:rowOff>133350</xdr:rowOff>
    </xdr:to>
    <xdr:graphicFrame macro="">
      <xdr:nvGraphicFramePr>
        <xdr:cNvPr id="6407684" name="Wykres 20">
          <a:extLst>
            <a:ext uri="{FF2B5EF4-FFF2-40B4-BE49-F238E27FC236}">
              <a16:creationId xmlns:a16="http://schemas.microsoft.com/office/drawing/2014/main" id="{00000000-0008-0000-0500-000004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57150</xdr:colOff>
      <xdr:row>22</xdr:row>
      <xdr:rowOff>47625</xdr:rowOff>
    </xdr:from>
    <xdr:to>
      <xdr:col>15</xdr:col>
      <xdr:colOff>504825</xdr:colOff>
      <xdr:row>40</xdr:row>
      <xdr:rowOff>133350</xdr:rowOff>
    </xdr:to>
    <xdr:graphicFrame macro="">
      <xdr:nvGraphicFramePr>
        <xdr:cNvPr id="6407685" name="Wykres 1">
          <a:extLst>
            <a:ext uri="{FF2B5EF4-FFF2-40B4-BE49-F238E27FC236}">
              <a16:creationId xmlns:a16="http://schemas.microsoft.com/office/drawing/2014/main" id="{00000000-0008-0000-0500-000005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76200</xdr:colOff>
      <xdr:row>22</xdr:row>
      <xdr:rowOff>47625</xdr:rowOff>
    </xdr:from>
    <xdr:to>
      <xdr:col>31</xdr:col>
      <xdr:colOff>581025</xdr:colOff>
      <xdr:row>40</xdr:row>
      <xdr:rowOff>133350</xdr:rowOff>
    </xdr:to>
    <xdr:graphicFrame macro="">
      <xdr:nvGraphicFramePr>
        <xdr:cNvPr id="6407686" name="Wykres 1">
          <a:extLst>
            <a:ext uri="{FF2B5EF4-FFF2-40B4-BE49-F238E27FC236}">
              <a16:creationId xmlns:a16="http://schemas.microsoft.com/office/drawing/2014/main" id="{00000000-0008-0000-0500-000006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1746250</xdr:colOff>
      <xdr:row>331</xdr:row>
      <xdr:rowOff>116417</xdr:rowOff>
    </xdr:from>
    <xdr:to>
      <xdr:col>13</xdr:col>
      <xdr:colOff>952500</xdr:colOff>
      <xdr:row>349</xdr:row>
      <xdr:rowOff>148167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22507F6-777A-4A93-9E26-4C8EC0994C85}"/>
            </a:ext>
          </a:extLst>
        </xdr:cNvPr>
        <xdr:cNvSpPr txBox="1"/>
      </xdr:nvSpPr>
      <xdr:spPr>
        <a:xfrm>
          <a:off x="2254250" y="70040500"/>
          <a:ext cx="5598583" cy="327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>
            <a:effectLst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>
            <a:effectLst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>
            <a:effectLst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  </a:t>
          </a:r>
          <a:endParaRPr lang="pl-PL">
            <a:effectLst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 – głosował “ZA” w formie zdalnej</a:t>
          </a:r>
          <a:endParaRPr lang="pl-PL">
            <a:effectLst/>
          </a:endParaRPr>
        </a:p>
        <a:p>
          <a:pPr fontAlgn="base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2:AR116"/>
  <sheetViews>
    <sheetView workbookViewId="0">
      <selection activeCell="E3" sqref="E3"/>
    </sheetView>
  </sheetViews>
  <sheetFormatPr defaultRowHeight="11.25"/>
  <cols>
    <col min="1" max="1" width="5.25" style="18" bestFit="1" customWidth="1"/>
    <col min="2" max="2" width="6.125" style="18" customWidth="1"/>
    <col min="3" max="3" width="46.375" style="19" customWidth="1"/>
    <col min="4" max="4" width="21" style="19" customWidth="1"/>
    <col min="5" max="5" width="19.875" style="19" customWidth="1"/>
    <col min="6" max="13" width="16.75" style="19" bestFit="1" customWidth="1"/>
    <col min="14" max="16384" width="9" style="19"/>
  </cols>
  <sheetData>
    <row r="2" spans="1:44" ht="13.5">
      <c r="C2" s="19" t="s">
        <v>179</v>
      </c>
      <c r="E2" s="503" t="s">
        <v>563</v>
      </c>
      <c r="F2" s="504" t="s">
        <v>715</v>
      </c>
      <c r="G2" s="505" t="s">
        <v>716</v>
      </c>
      <c r="H2" s="506" t="s">
        <v>717</v>
      </c>
      <c r="I2" s="298" t="s">
        <v>569</v>
      </c>
    </row>
    <row r="3" spans="1:44" ht="12">
      <c r="C3" s="19" t="s">
        <v>178</v>
      </c>
      <c r="E3" s="507" t="s">
        <v>579</v>
      </c>
      <c r="F3" s="508" t="str">
        <f>+LEFT(E3,4)</f>
        <v>A7F0</v>
      </c>
      <c r="G3" s="507" t="s">
        <v>667</v>
      </c>
      <c r="H3" s="507" t="s">
        <v>580</v>
      </c>
      <c r="I3" s="507" t="s">
        <v>581</v>
      </c>
    </row>
    <row r="4" spans="1:44" ht="12">
      <c r="E4" s="509" t="s">
        <v>564</v>
      </c>
      <c r="F4" s="508" t="str">
        <f>+LEFT(E4,4)</f>
        <v>6118</v>
      </c>
      <c r="G4" s="507" t="s">
        <v>565</v>
      </c>
      <c r="H4" s="507" t="s">
        <v>566</v>
      </c>
      <c r="I4" s="507" t="s">
        <v>567</v>
      </c>
    </row>
    <row r="9" spans="1:44">
      <c r="B9" s="18" t="s">
        <v>0</v>
      </c>
      <c r="C9" s="19" t="s">
        <v>1</v>
      </c>
      <c r="D9" s="19">
        <v>0</v>
      </c>
      <c r="E9" s="19">
        <v>0</v>
      </c>
      <c r="F9" s="19">
        <f>+E9+1</f>
        <v>1</v>
      </c>
      <c r="G9" s="19">
        <f t="shared" ref="G9:AF9" si="0">+F9+1</f>
        <v>2</v>
      </c>
      <c r="H9" s="19">
        <f t="shared" si="0"/>
        <v>3</v>
      </c>
      <c r="I9" s="19">
        <f t="shared" si="0"/>
        <v>4</v>
      </c>
      <c r="J9" s="19">
        <f t="shared" si="0"/>
        <v>5</v>
      </c>
      <c r="K9" s="19">
        <f t="shared" si="0"/>
        <v>6</v>
      </c>
      <c r="L9" s="19">
        <f t="shared" si="0"/>
        <v>7</v>
      </c>
      <c r="M9" s="19">
        <f t="shared" si="0"/>
        <v>8</v>
      </c>
      <c r="N9" s="19">
        <f t="shared" si="0"/>
        <v>9</v>
      </c>
      <c r="O9" s="19">
        <f t="shared" si="0"/>
        <v>10</v>
      </c>
      <c r="P9" s="19">
        <f>+O9+1</f>
        <v>11</v>
      </c>
      <c r="Q9" s="19">
        <f t="shared" si="0"/>
        <v>12</v>
      </c>
      <c r="R9" s="19">
        <f t="shared" si="0"/>
        <v>13</v>
      </c>
      <c r="S9" s="19">
        <f t="shared" si="0"/>
        <v>14</v>
      </c>
      <c r="T9" s="19">
        <f t="shared" si="0"/>
        <v>15</v>
      </c>
      <c r="U9" s="19">
        <f t="shared" si="0"/>
        <v>16</v>
      </c>
      <c r="V9" s="19">
        <f t="shared" si="0"/>
        <v>17</v>
      </c>
      <c r="W9" s="19">
        <f t="shared" si="0"/>
        <v>18</v>
      </c>
      <c r="X9" s="19">
        <f t="shared" si="0"/>
        <v>19</v>
      </c>
      <c r="Y9" s="19">
        <f t="shared" si="0"/>
        <v>20</v>
      </c>
      <c r="Z9" s="19">
        <f t="shared" si="0"/>
        <v>21</v>
      </c>
      <c r="AA9" s="19">
        <f t="shared" si="0"/>
        <v>22</v>
      </c>
      <c r="AB9" s="19">
        <f t="shared" si="0"/>
        <v>23</v>
      </c>
      <c r="AC9" s="19">
        <f t="shared" si="0"/>
        <v>24</v>
      </c>
      <c r="AD9" s="19">
        <f t="shared" si="0"/>
        <v>25</v>
      </c>
      <c r="AE9" s="19">
        <f t="shared" si="0"/>
        <v>26</v>
      </c>
      <c r="AF9" s="19">
        <f t="shared" si="0"/>
        <v>27</v>
      </c>
      <c r="AG9" s="19">
        <f>+AF9+1</f>
        <v>28</v>
      </c>
      <c r="AH9" s="19">
        <f>+AG9+1</f>
        <v>29</v>
      </c>
      <c r="AI9" s="19">
        <f t="shared" ref="AI9:AQ9" si="1">+AH9+1</f>
        <v>30</v>
      </c>
      <c r="AJ9" s="19">
        <f t="shared" si="1"/>
        <v>31</v>
      </c>
      <c r="AK9" s="19">
        <f t="shared" si="1"/>
        <v>32</v>
      </c>
      <c r="AL9" s="19">
        <f t="shared" si="1"/>
        <v>33</v>
      </c>
      <c r="AM9" s="19">
        <f t="shared" si="1"/>
        <v>34</v>
      </c>
      <c r="AN9" s="19">
        <f t="shared" si="1"/>
        <v>35</v>
      </c>
      <c r="AO9" s="19">
        <f t="shared" si="1"/>
        <v>36</v>
      </c>
      <c r="AP9" s="19">
        <f t="shared" si="1"/>
        <v>37</v>
      </c>
      <c r="AQ9" s="19">
        <f t="shared" si="1"/>
        <v>38</v>
      </c>
      <c r="AR9" s="19">
        <f>+AQ9+1</f>
        <v>39</v>
      </c>
    </row>
    <row r="10" spans="1:44">
      <c r="A10" s="74">
        <v>10000</v>
      </c>
      <c r="B10" s="18">
        <v>1</v>
      </c>
      <c r="C10" s="19" t="s">
        <v>23</v>
      </c>
      <c r="D10" s="19" t="str">
        <f t="shared" ref="D10:M25" si="2">+"rokwzgl="&amp;D$9&amp;" i lp="&amp;$A10</f>
        <v>rokwzgl=0 i lp=10000</v>
      </c>
      <c r="E10" s="19" t="str">
        <f t="shared" si="2"/>
        <v>rokwzgl=0 i lp=10000</v>
      </c>
      <c r="F10" s="19" t="str">
        <f t="shared" si="2"/>
        <v>rokwzgl=1 i lp=10000</v>
      </c>
      <c r="G10" s="19" t="str">
        <f t="shared" si="2"/>
        <v>rokwzgl=2 i lp=10000</v>
      </c>
      <c r="H10" s="19" t="str">
        <f t="shared" si="2"/>
        <v>rokwzgl=3 i lp=10000</v>
      </c>
      <c r="I10" s="19" t="str">
        <f t="shared" si="2"/>
        <v>rokwzgl=4 i lp=10000</v>
      </c>
      <c r="J10" s="19" t="str">
        <f t="shared" si="2"/>
        <v>rokwzgl=5 i lp=10000</v>
      </c>
      <c r="K10" s="19" t="str">
        <f t="shared" si="2"/>
        <v>rokwzgl=6 i lp=10000</v>
      </c>
      <c r="L10" s="19" t="str">
        <f t="shared" si="2"/>
        <v>rokwzgl=7 i lp=10000</v>
      </c>
      <c r="M10" s="19" t="str">
        <f t="shared" si="2"/>
        <v>rokwzgl=8 i lp=10000</v>
      </c>
      <c r="N10" s="19" t="str">
        <f t="shared" ref="N10:W25" si="3">+"rokwzgl="&amp;N$9&amp;" i lp="&amp;$A10</f>
        <v>rokwzgl=9 i lp=10000</v>
      </c>
      <c r="O10" s="19" t="str">
        <f t="shared" si="3"/>
        <v>rokwzgl=10 i lp=10000</v>
      </c>
      <c r="P10" s="19" t="str">
        <f t="shared" si="3"/>
        <v>rokwzgl=11 i lp=10000</v>
      </c>
      <c r="Q10" s="19" t="str">
        <f t="shared" si="3"/>
        <v>rokwzgl=12 i lp=10000</v>
      </c>
      <c r="R10" s="19" t="str">
        <f t="shared" si="3"/>
        <v>rokwzgl=13 i lp=10000</v>
      </c>
      <c r="S10" s="19" t="str">
        <f t="shared" si="3"/>
        <v>rokwzgl=14 i lp=10000</v>
      </c>
      <c r="T10" s="19" t="str">
        <f t="shared" si="3"/>
        <v>rokwzgl=15 i lp=10000</v>
      </c>
      <c r="U10" s="19" t="str">
        <f t="shared" si="3"/>
        <v>rokwzgl=16 i lp=10000</v>
      </c>
      <c r="V10" s="19" t="str">
        <f t="shared" si="3"/>
        <v>rokwzgl=17 i lp=10000</v>
      </c>
      <c r="W10" s="19" t="str">
        <f t="shared" si="3"/>
        <v>rokwzgl=18 i lp=10000</v>
      </c>
      <c r="X10" s="19" t="str">
        <f t="shared" ref="X10:AM19" si="4">+"rokwzgl="&amp;X$9&amp;" i lp="&amp;$A10</f>
        <v>rokwzgl=19 i lp=10000</v>
      </c>
      <c r="Y10" s="19" t="str">
        <f t="shared" si="4"/>
        <v>rokwzgl=20 i lp=10000</v>
      </c>
      <c r="Z10" s="19" t="str">
        <f t="shared" si="4"/>
        <v>rokwzgl=21 i lp=10000</v>
      </c>
      <c r="AA10" s="19" t="str">
        <f t="shared" si="4"/>
        <v>rokwzgl=22 i lp=10000</v>
      </c>
      <c r="AB10" s="19" t="str">
        <f t="shared" si="4"/>
        <v>rokwzgl=23 i lp=10000</v>
      </c>
      <c r="AC10" s="19" t="str">
        <f t="shared" si="4"/>
        <v>rokwzgl=24 i lp=10000</v>
      </c>
      <c r="AD10" s="19" t="str">
        <f t="shared" si="4"/>
        <v>rokwzgl=25 i lp=10000</v>
      </c>
      <c r="AE10" s="19" t="str">
        <f t="shared" si="4"/>
        <v>rokwzgl=26 i lp=10000</v>
      </c>
      <c r="AF10" s="19" t="str">
        <f t="shared" si="4"/>
        <v>rokwzgl=27 i lp=10000</v>
      </c>
      <c r="AG10" s="19" t="str">
        <f t="shared" si="4"/>
        <v>rokwzgl=28 i lp=10000</v>
      </c>
      <c r="AH10" s="19" t="str">
        <f t="shared" si="4"/>
        <v>rokwzgl=29 i lp=10000</v>
      </c>
      <c r="AI10" s="19" t="str">
        <f t="shared" si="4"/>
        <v>rokwzgl=30 i lp=10000</v>
      </c>
      <c r="AJ10" s="19" t="str">
        <f t="shared" si="4"/>
        <v>rokwzgl=31 i lp=10000</v>
      </c>
      <c r="AK10" s="19" t="str">
        <f t="shared" si="4"/>
        <v>rokwzgl=32 i lp=10000</v>
      </c>
      <c r="AL10" s="19" t="str">
        <f t="shared" si="4"/>
        <v>rokwzgl=33 i lp=10000</v>
      </c>
      <c r="AM10" s="19" t="str">
        <f t="shared" si="4"/>
        <v>rokwzgl=34 i lp=10000</v>
      </c>
      <c r="AN10" s="19" t="str">
        <f t="shared" ref="AN10:AR25" si="5">+"rokwzgl="&amp;AN$9&amp;" i lp="&amp;$A10</f>
        <v>rokwzgl=35 i lp=10000</v>
      </c>
      <c r="AO10" s="19" t="str">
        <f t="shared" si="5"/>
        <v>rokwzgl=36 i lp=10000</v>
      </c>
      <c r="AP10" s="19" t="str">
        <f t="shared" si="5"/>
        <v>rokwzgl=37 i lp=10000</v>
      </c>
      <c r="AQ10" s="19" t="str">
        <f t="shared" si="5"/>
        <v>rokwzgl=38 i lp=10000</v>
      </c>
      <c r="AR10" s="19" t="str">
        <f t="shared" si="5"/>
        <v>rokwzgl=39 i lp=10000</v>
      </c>
    </row>
    <row r="11" spans="1:44">
      <c r="A11" s="74">
        <v>11000</v>
      </c>
      <c r="B11" s="18" t="s">
        <v>51</v>
      </c>
      <c r="C11" s="19" t="s">
        <v>182</v>
      </c>
      <c r="D11" s="19" t="str">
        <f t="shared" si="2"/>
        <v>rokwzgl=0 i lp=11000</v>
      </c>
      <c r="E11" s="19" t="str">
        <f t="shared" si="2"/>
        <v>rokwzgl=0 i lp=11000</v>
      </c>
      <c r="F11" s="19" t="str">
        <f t="shared" si="2"/>
        <v>rokwzgl=1 i lp=11000</v>
      </c>
      <c r="G11" s="19" t="str">
        <f t="shared" si="2"/>
        <v>rokwzgl=2 i lp=11000</v>
      </c>
      <c r="H11" s="19" t="str">
        <f t="shared" si="2"/>
        <v>rokwzgl=3 i lp=11000</v>
      </c>
      <c r="I11" s="19" t="str">
        <f t="shared" si="2"/>
        <v>rokwzgl=4 i lp=11000</v>
      </c>
      <c r="J11" s="19" t="str">
        <f t="shared" si="2"/>
        <v>rokwzgl=5 i lp=11000</v>
      </c>
      <c r="K11" s="19" t="str">
        <f t="shared" si="2"/>
        <v>rokwzgl=6 i lp=11000</v>
      </c>
      <c r="L11" s="19" t="str">
        <f t="shared" si="2"/>
        <v>rokwzgl=7 i lp=11000</v>
      </c>
      <c r="M11" s="19" t="str">
        <f t="shared" si="2"/>
        <v>rokwzgl=8 i lp=11000</v>
      </c>
      <c r="N11" s="19" t="str">
        <f t="shared" si="3"/>
        <v>rokwzgl=9 i lp=11000</v>
      </c>
      <c r="O11" s="19" t="str">
        <f t="shared" si="3"/>
        <v>rokwzgl=10 i lp=11000</v>
      </c>
      <c r="P11" s="19" t="str">
        <f t="shared" si="3"/>
        <v>rokwzgl=11 i lp=11000</v>
      </c>
      <c r="Q11" s="19" t="str">
        <f t="shared" si="3"/>
        <v>rokwzgl=12 i lp=11000</v>
      </c>
      <c r="R11" s="19" t="str">
        <f t="shared" si="3"/>
        <v>rokwzgl=13 i lp=11000</v>
      </c>
      <c r="S11" s="19" t="str">
        <f t="shared" si="3"/>
        <v>rokwzgl=14 i lp=11000</v>
      </c>
      <c r="T11" s="19" t="str">
        <f t="shared" si="3"/>
        <v>rokwzgl=15 i lp=11000</v>
      </c>
      <c r="U11" s="19" t="str">
        <f t="shared" si="3"/>
        <v>rokwzgl=16 i lp=11000</v>
      </c>
      <c r="V11" s="19" t="str">
        <f t="shared" si="3"/>
        <v>rokwzgl=17 i lp=11000</v>
      </c>
      <c r="W11" s="19" t="str">
        <f t="shared" si="3"/>
        <v>rokwzgl=18 i lp=11000</v>
      </c>
      <c r="X11" s="19" t="str">
        <f t="shared" si="4"/>
        <v>rokwzgl=19 i lp=11000</v>
      </c>
      <c r="Y11" s="19" t="str">
        <f t="shared" si="4"/>
        <v>rokwzgl=20 i lp=11000</v>
      </c>
      <c r="Z11" s="19" t="str">
        <f t="shared" si="4"/>
        <v>rokwzgl=21 i lp=11000</v>
      </c>
      <c r="AA11" s="19" t="str">
        <f t="shared" si="4"/>
        <v>rokwzgl=22 i lp=11000</v>
      </c>
      <c r="AB11" s="19" t="str">
        <f t="shared" si="4"/>
        <v>rokwzgl=23 i lp=11000</v>
      </c>
      <c r="AC11" s="19" t="str">
        <f t="shared" si="4"/>
        <v>rokwzgl=24 i lp=11000</v>
      </c>
      <c r="AD11" s="19" t="str">
        <f t="shared" si="4"/>
        <v>rokwzgl=25 i lp=11000</v>
      </c>
      <c r="AE11" s="19" t="str">
        <f t="shared" si="4"/>
        <v>rokwzgl=26 i lp=11000</v>
      </c>
      <c r="AF11" s="19" t="str">
        <f t="shared" si="4"/>
        <v>rokwzgl=27 i lp=11000</v>
      </c>
      <c r="AG11" s="19" t="str">
        <f t="shared" si="4"/>
        <v>rokwzgl=28 i lp=11000</v>
      </c>
      <c r="AH11" s="19" t="str">
        <f t="shared" si="4"/>
        <v>rokwzgl=29 i lp=11000</v>
      </c>
      <c r="AI11" s="19" t="str">
        <f t="shared" si="4"/>
        <v>rokwzgl=30 i lp=11000</v>
      </c>
      <c r="AJ11" s="19" t="str">
        <f t="shared" si="4"/>
        <v>rokwzgl=31 i lp=11000</v>
      </c>
      <c r="AK11" s="19" t="str">
        <f t="shared" si="4"/>
        <v>rokwzgl=32 i lp=11000</v>
      </c>
      <c r="AL11" s="19" t="str">
        <f t="shared" si="4"/>
        <v>rokwzgl=33 i lp=11000</v>
      </c>
      <c r="AM11" s="19" t="str">
        <f t="shared" si="4"/>
        <v>rokwzgl=34 i lp=11000</v>
      </c>
      <c r="AN11" s="19" t="str">
        <f t="shared" si="5"/>
        <v>rokwzgl=35 i lp=11000</v>
      </c>
      <c r="AO11" s="19" t="str">
        <f t="shared" si="5"/>
        <v>rokwzgl=36 i lp=11000</v>
      </c>
      <c r="AP11" s="19" t="str">
        <f t="shared" si="5"/>
        <v>rokwzgl=37 i lp=11000</v>
      </c>
      <c r="AQ11" s="19" t="str">
        <f t="shared" si="5"/>
        <v>rokwzgl=38 i lp=11000</v>
      </c>
      <c r="AR11" s="19" t="str">
        <f t="shared" si="5"/>
        <v>rokwzgl=39 i lp=11000</v>
      </c>
    </row>
    <row r="12" spans="1:44">
      <c r="A12" s="74">
        <v>11100</v>
      </c>
      <c r="B12" s="18" t="s">
        <v>32</v>
      </c>
      <c r="C12" s="19" t="s">
        <v>183</v>
      </c>
      <c r="D12" s="19" t="str">
        <f t="shared" si="2"/>
        <v>rokwzgl=0 i lp=11100</v>
      </c>
      <c r="E12" s="19" t="str">
        <f t="shared" si="2"/>
        <v>rokwzgl=0 i lp=11100</v>
      </c>
      <c r="F12" s="19" t="str">
        <f t="shared" si="2"/>
        <v>rokwzgl=1 i lp=11100</v>
      </c>
      <c r="G12" s="19" t="str">
        <f t="shared" si="2"/>
        <v>rokwzgl=2 i lp=11100</v>
      </c>
      <c r="H12" s="19" t="str">
        <f t="shared" si="2"/>
        <v>rokwzgl=3 i lp=11100</v>
      </c>
      <c r="I12" s="19" t="str">
        <f t="shared" si="2"/>
        <v>rokwzgl=4 i lp=11100</v>
      </c>
      <c r="J12" s="19" t="str">
        <f t="shared" si="2"/>
        <v>rokwzgl=5 i lp=11100</v>
      </c>
      <c r="K12" s="19" t="str">
        <f t="shared" si="2"/>
        <v>rokwzgl=6 i lp=11100</v>
      </c>
      <c r="L12" s="19" t="str">
        <f t="shared" si="2"/>
        <v>rokwzgl=7 i lp=11100</v>
      </c>
      <c r="M12" s="19" t="str">
        <f t="shared" si="2"/>
        <v>rokwzgl=8 i lp=11100</v>
      </c>
      <c r="N12" s="19" t="str">
        <f t="shared" si="3"/>
        <v>rokwzgl=9 i lp=11100</v>
      </c>
      <c r="O12" s="19" t="str">
        <f t="shared" si="3"/>
        <v>rokwzgl=10 i lp=11100</v>
      </c>
      <c r="P12" s="19" t="str">
        <f t="shared" si="3"/>
        <v>rokwzgl=11 i lp=11100</v>
      </c>
      <c r="Q12" s="19" t="str">
        <f t="shared" si="3"/>
        <v>rokwzgl=12 i lp=11100</v>
      </c>
      <c r="R12" s="19" t="str">
        <f t="shared" si="3"/>
        <v>rokwzgl=13 i lp=11100</v>
      </c>
      <c r="S12" s="19" t="str">
        <f t="shared" si="3"/>
        <v>rokwzgl=14 i lp=11100</v>
      </c>
      <c r="T12" s="19" t="str">
        <f t="shared" si="3"/>
        <v>rokwzgl=15 i lp=11100</v>
      </c>
      <c r="U12" s="19" t="str">
        <f t="shared" si="3"/>
        <v>rokwzgl=16 i lp=11100</v>
      </c>
      <c r="V12" s="19" t="str">
        <f t="shared" si="3"/>
        <v>rokwzgl=17 i lp=11100</v>
      </c>
      <c r="W12" s="19" t="str">
        <f t="shared" si="3"/>
        <v>rokwzgl=18 i lp=11100</v>
      </c>
      <c r="X12" s="19" t="str">
        <f t="shared" si="4"/>
        <v>rokwzgl=19 i lp=11100</v>
      </c>
      <c r="Y12" s="19" t="str">
        <f t="shared" si="4"/>
        <v>rokwzgl=20 i lp=11100</v>
      </c>
      <c r="Z12" s="19" t="str">
        <f t="shared" si="4"/>
        <v>rokwzgl=21 i lp=11100</v>
      </c>
      <c r="AA12" s="19" t="str">
        <f t="shared" si="4"/>
        <v>rokwzgl=22 i lp=11100</v>
      </c>
      <c r="AB12" s="19" t="str">
        <f t="shared" si="4"/>
        <v>rokwzgl=23 i lp=11100</v>
      </c>
      <c r="AC12" s="19" t="str">
        <f t="shared" si="4"/>
        <v>rokwzgl=24 i lp=11100</v>
      </c>
      <c r="AD12" s="19" t="str">
        <f t="shared" si="4"/>
        <v>rokwzgl=25 i lp=11100</v>
      </c>
      <c r="AE12" s="19" t="str">
        <f t="shared" si="4"/>
        <v>rokwzgl=26 i lp=11100</v>
      </c>
      <c r="AF12" s="19" t="str">
        <f t="shared" si="4"/>
        <v>rokwzgl=27 i lp=11100</v>
      </c>
      <c r="AG12" s="19" t="str">
        <f t="shared" si="4"/>
        <v>rokwzgl=28 i lp=11100</v>
      </c>
      <c r="AH12" s="19" t="str">
        <f t="shared" si="4"/>
        <v>rokwzgl=29 i lp=11100</v>
      </c>
      <c r="AI12" s="19" t="str">
        <f t="shared" si="4"/>
        <v>rokwzgl=30 i lp=11100</v>
      </c>
      <c r="AJ12" s="19" t="str">
        <f t="shared" si="4"/>
        <v>rokwzgl=31 i lp=11100</v>
      </c>
      <c r="AK12" s="19" t="str">
        <f t="shared" si="4"/>
        <v>rokwzgl=32 i lp=11100</v>
      </c>
      <c r="AL12" s="19" t="str">
        <f t="shared" si="4"/>
        <v>rokwzgl=33 i lp=11100</v>
      </c>
      <c r="AM12" s="19" t="str">
        <f t="shared" si="4"/>
        <v>rokwzgl=34 i lp=11100</v>
      </c>
      <c r="AN12" s="19" t="str">
        <f t="shared" si="5"/>
        <v>rokwzgl=35 i lp=11100</v>
      </c>
      <c r="AO12" s="19" t="str">
        <f t="shared" si="5"/>
        <v>rokwzgl=36 i lp=11100</v>
      </c>
      <c r="AP12" s="19" t="str">
        <f t="shared" si="5"/>
        <v>rokwzgl=37 i lp=11100</v>
      </c>
      <c r="AQ12" s="19" t="str">
        <f t="shared" si="5"/>
        <v>rokwzgl=38 i lp=11100</v>
      </c>
      <c r="AR12" s="19" t="str">
        <f t="shared" si="5"/>
        <v>rokwzgl=39 i lp=11100</v>
      </c>
    </row>
    <row r="13" spans="1:44">
      <c r="A13" s="74">
        <v>11200</v>
      </c>
      <c r="B13" s="18" t="s">
        <v>33</v>
      </c>
      <c r="C13" s="19" t="s">
        <v>184</v>
      </c>
      <c r="D13" s="19" t="str">
        <f t="shared" si="2"/>
        <v>rokwzgl=0 i lp=11200</v>
      </c>
      <c r="E13" s="19" t="str">
        <f t="shared" si="2"/>
        <v>rokwzgl=0 i lp=11200</v>
      </c>
      <c r="F13" s="19" t="str">
        <f t="shared" si="2"/>
        <v>rokwzgl=1 i lp=11200</v>
      </c>
      <c r="G13" s="19" t="str">
        <f t="shared" si="2"/>
        <v>rokwzgl=2 i lp=11200</v>
      </c>
      <c r="H13" s="19" t="str">
        <f t="shared" si="2"/>
        <v>rokwzgl=3 i lp=11200</v>
      </c>
      <c r="I13" s="19" t="str">
        <f t="shared" si="2"/>
        <v>rokwzgl=4 i lp=11200</v>
      </c>
      <c r="J13" s="19" t="str">
        <f t="shared" si="2"/>
        <v>rokwzgl=5 i lp=11200</v>
      </c>
      <c r="K13" s="19" t="str">
        <f t="shared" si="2"/>
        <v>rokwzgl=6 i lp=11200</v>
      </c>
      <c r="L13" s="19" t="str">
        <f t="shared" si="2"/>
        <v>rokwzgl=7 i lp=11200</v>
      </c>
      <c r="M13" s="19" t="str">
        <f t="shared" si="2"/>
        <v>rokwzgl=8 i lp=11200</v>
      </c>
      <c r="N13" s="19" t="str">
        <f t="shared" si="3"/>
        <v>rokwzgl=9 i lp=11200</v>
      </c>
      <c r="O13" s="19" t="str">
        <f t="shared" si="3"/>
        <v>rokwzgl=10 i lp=11200</v>
      </c>
      <c r="P13" s="19" t="str">
        <f t="shared" si="3"/>
        <v>rokwzgl=11 i lp=11200</v>
      </c>
      <c r="Q13" s="19" t="str">
        <f t="shared" si="3"/>
        <v>rokwzgl=12 i lp=11200</v>
      </c>
      <c r="R13" s="19" t="str">
        <f t="shared" si="3"/>
        <v>rokwzgl=13 i lp=11200</v>
      </c>
      <c r="S13" s="19" t="str">
        <f t="shared" si="3"/>
        <v>rokwzgl=14 i lp=11200</v>
      </c>
      <c r="T13" s="19" t="str">
        <f t="shared" si="3"/>
        <v>rokwzgl=15 i lp=11200</v>
      </c>
      <c r="U13" s="19" t="str">
        <f t="shared" si="3"/>
        <v>rokwzgl=16 i lp=11200</v>
      </c>
      <c r="V13" s="19" t="str">
        <f t="shared" si="3"/>
        <v>rokwzgl=17 i lp=11200</v>
      </c>
      <c r="W13" s="19" t="str">
        <f t="shared" si="3"/>
        <v>rokwzgl=18 i lp=11200</v>
      </c>
      <c r="X13" s="19" t="str">
        <f t="shared" si="4"/>
        <v>rokwzgl=19 i lp=11200</v>
      </c>
      <c r="Y13" s="19" t="str">
        <f t="shared" si="4"/>
        <v>rokwzgl=20 i lp=11200</v>
      </c>
      <c r="Z13" s="19" t="str">
        <f t="shared" si="4"/>
        <v>rokwzgl=21 i lp=11200</v>
      </c>
      <c r="AA13" s="19" t="str">
        <f t="shared" si="4"/>
        <v>rokwzgl=22 i lp=11200</v>
      </c>
      <c r="AB13" s="19" t="str">
        <f t="shared" si="4"/>
        <v>rokwzgl=23 i lp=11200</v>
      </c>
      <c r="AC13" s="19" t="str">
        <f t="shared" si="4"/>
        <v>rokwzgl=24 i lp=11200</v>
      </c>
      <c r="AD13" s="19" t="str">
        <f t="shared" si="4"/>
        <v>rokwzgl=25 i lp=11200</v>
      </c>
      <c r="AE13" s="19" t="str">
        <f t="shared" si="4"/>
        <v>rokwzgl=26 i lp=11200</v>
      </c>
      <c r="AF13" s="19" t="str">
        <f t="shared" si="4"/>
        <v>rokwzgl=27 i lp=11200</v>
      </c>
      <c r="AG13" s="19" t="str">
        <f t="shared" si="4"/>
        <v>rokwzgl=28 i lp=11200</v>
      </c>
      <c r="AH13" s="19" t="str">
        <f t="shared" si="4"/>
        <v>rokwzgl=29 i lp=11200</v>
      </c>
      <c r="AI13" s="19" t="str">
        <f t="shared" si="4"/>
        <v>rokwzgl=30 i lp=11200</v>
      </c>
      <c r="AJ13" s="19" t="str">
        <f t="shared" si="4"/>
        <v>rokwzgl=31 i lp=11200</v>
      </c>
      <c r="AK13" s="19" t="str">
        <f t="shared" si="4"/>
        <v>rokwzgl=32 i lp=11200</v>
      </c>
      <c r="AL13" s="19" t="str">
        <f t="shared" si="4"/>
        <v>rokwzgl=33 i lp=11200</v>
      </c>
      <c r="AM13" s="19" t="str">
        <f t="shared" si="4"/>
        <v>rokwzgl=34 i lp=11200</v>
      </c>
      <c r="AN13" s="19" t="str">
        <f t="shared" si="5"/>
        <v>rokwzgl=35 i lp=11200</v>
      </c>
      <c r="AO13" s="19" t="str">
        <f t="shared" si="5"/>
        <v>rokwzgl=36 i lp=11200</v>
      </c>
      <c r="AP13" s="19" t="str">
        <f t="shared" si="5"/>
        <v>rokwzgl=37 i lp=11200</v>
      </c>
      <c r="AQ13" s="19" t="str">
        <f t="shared" si="5"/>
        <v>rokwzgl=38 i lp=11200</v>
      </c>
      <c r="AR13" s="19" t="str">
        <f t="shared" si="5"/>
        <v>rokwzgl=39 i lp=11200</v>
      </c>
    </row>
    <row r="14" spans="1:44">
      <c r="A14" s="74">
        <v>11300</v>
      </c>
      <c r="B14" s="18" t="s">
        <v>34</v>
      </c>
      <c r="C14" s="19" t="s">
        <v>185</v>
      </c>
      <c r="D14" s="19" t="str">
        <f t="shared" si="2"/>
        <v>rokwzgl=0 i lp=11300</v>
      </c>
      <c r="E14" s="19" t="str">
        <f t="shared" si="2"/>
        <v>rokwzgl=0 i lp=11300</v>
      </c>
      <c r="F14" s="19" t="str">
        <f t="shared" si="2"/>
        <v>rokwzgl=1 i lp=11300</v>
      </c>
      <c r="G14" s="19" t="str">
        <f t="shared" si="2"/>
        <v>rokwzgl=2 i lp=11300</v>
      </c>
      <c r="H14" s="19" t="str">
        <f t="shared" si="2"/>
        <v>rokwzgl=3 i lp=11300</v>
      </c>
      <c r="I14" s="19" t="str">
        <f t="shared" si="2"/>
        <v>rokwzgl=4 i lp=11300</v>
      </c>
      <c r="J14" s="19" t="str">
        <f t="shared" si="2"/>
        <v>rokwzgl=5 i lp=11300</v>
      </c>
      <c r="K14" s="19" t="str">
        <f t="shared" si="2"/>
        <v>rokwzgl=6 i lp=11300</v>
      </c>
      <c r="L14" s="19" t="str">
        <f t="shared" si="2"/>
        <v>rokwzgl=7 i lp=11300</v>
      </c>
      <c r="M14" s="19" t="str">
        <f t="shared" si="2"/>
        <v>rokwzgl=8 i lp=11300</v>
      </c>
      <c r="N14" s="19" t="str">
        <f t="shared" si="3"/>
        <v>rokwzgl=9 i lp=11300</v>
      </c>
      <c r="O14" s="19" t="str">
        <f t="shared" si="3"/>
        <v>rokwzgl=10 i lp=11300</v>
      </c>
      <c r="P14" s="19" t="str">
        <f t="shared" si="3"/>
        <v>rokwzgl=11 i lp=11300</v>
      </c>
      <c r="Q14" s="19" t="str">
        <f t="shared" si="3"/>
        <v>rokwzgl=12 i lp=11300</v>
      </c>
      <c r="R14" s="19" t="str">
        <f t="shared" si="3"/>
        <v>rokwzgl=13 i lp=11300</v>
      </c>
      <c r="S14" s="19" t="str">
        <f t="shared" si="3"/>
        <v>rokwzgl=14 i lp=11300</v>
      </c>
      <c r="T14" s="19" t="str">
        <f t="shared" si="3"/>
        <v>rokwzgl=15 i lp=11300</v>
      </c>
      <c r="U14" s="19" t="str">
        <f t="shared" si="3"/>
        <v>rokwzgl=16 i lp=11300</v>
      </c>
      <c r="V14" s="19" t="str">
        <f t="shared" si="3"/>
        <v>rokwzgl=17 i lp=11300</v>
      </c>
      <c r="W14" s="19" t="str">
        <f t="shared" si="3"/>
        <v>rokwzgl=18 i lp=11300</v>
      </c>
      <c r="X14" s="19" t="str">
        <f t="shared" si="4"/>
        <v>rokwzgl=19 i lp=11300</v>
      </c>
      <c r="Y14" s="19" t="str">
        <f t="shared" si="4"/>
        <v>rokwzgl=20 i lp=11300</v>
      </c>
      <c r="Z14" s="19" t="str">
        <f t="shared" si="4"/>
        <v>rokwzgl=21 i lp=11300</v>
      </c>
      <c r="AA14" s="19" t="str">
        <f t="shared" si="4"/>
        <v>rokwzgl=22 i lp=11300</v>
      </c>
      <c r="AB14" s="19" t="str">
        <f t="shared" si="4"/>
        <v>rokwzgl=23 i lp=11300</v>
      </c>
      <c r="AC14" s="19" t="str">
        <f t="shared" si="4"/>
        <v>rokwzgl=24 i lp=11300</v>
      </c>
      <c r="AD14" s="19" t="str">
        <f t="shared" si="4"/>
        <v>rokwzgl=25 i lp=11300</v>
      </c>
      <c r="AE14" s="19" t="str">
        <f t="shared" si="4"/>
        <v>rokwzgl=26 i lp=11300</v>
      </c>
      <c r="AF14" s="19" t="str">
        <f t="shared" si="4"/>
        <v>rokwzgl=27 i lp=11300</v>
      </c>
      <c r="AG14" s="19" t="str">
        <f t="shared" si="4"/>
        <v>rokwzgl=28 i lp=11300</v>
      </c>
      <c r="AH14" s="19" t="str">
        <f t="shared" si="4"/>
        <v>rokwzgl=29 i lp=11300</v>
      </c>
      <c r="AI14" s="19" t="str">
        <f t="shared" si="4"/>
        <v>rokwzgl=30 i lp=11300</v>
      </c>
      <c r="AJ14" s="19" t="str">
        <f t="shared" si="4"/>
        <v>rokwzgl=31 i lp=11300</v>
      </c>
      <c r="AK14" s="19" t="str">
        <f t="shared" si="4"/>
        <v>rokwzgl=32 i lp=11300</v>
      </c>
      <c r="AL14" s="19" t="str">
        <f t="shared" si="4"/>
        <v>rokwzgl=33 i lp=11300</v>
      </c>
      <c r="AM14" s="19" t="str">
        <f t="shared" si="4"/>
        <v>rokwzgl=34 i lp=11300</v>
      </c>
      <c r="AN14" s="19" t="str">
        <f t="shared" si="5"/>
        <v>rokwzgl=35 i lp=11300</v>
      </c>
      <c r="AO14" s="19" t="str">
        <f t="shared" si="5"/>
        <v>rokwzgl=36 i lp=11300</v>
      </c>
      <c r="AP14" s="19" t="str">
        <f t="shared" si="5"/>
        <v>rokwzgl=37 i lp=11300</v>
      </c>
      <c r="AQ14" s="19" t="str">
        <f t="shared" si="5"/>
        <v>rokwzgl=38 i lp=11300</v>
      </c>
      <c r="AR14" s="19" t="str">
        <f t="shared" si="5"/>
        <v>rokwzgl=39 i lp=11300</v>
      </c>
    </row>
    <row r="15" spans="1:44">
      <c r="A15" s="74">
        <v>11400</v>
      </c>
      <c r="B15" s="18" t="s">
        <v>35</v>
      </c>
      <c r="C15" s="19" t="s">
        <v>186</v>
      </c>
      <c r="D15" s="19" t="str">
        <f t="shared" si="2"/>
        <v>rokwzgl=0 i lp=11400</v>
      </c>
      <c r="E15" s="19" t="str">
        <f t="shared" si="2"/>
        <v>rokwzgl=0 i lp=11400</v>
      </c>
      <c r="F15" s="19" t="str">
        <f t="shared" si="2"/>
        <v>rokwzgl=1 i lp=11400</v>
      </c>
      <c r="G15" s="19" t="str">
        <f t="shared" si="2"/>
        <v>rokwzgl=2 i lp=11400</v>
      </c>
      <c r="H15" s="19" t="str">
        <f t="shared" si="2"/>
        <v>rokwzgl=3 i lp=11400</v>
      </c>
      <c r="I15" s="19" t="str">
        <f t="shared" si="2"/>
        <v>rokwzgl=4 i lp=11400</v>
      </c>
      <c r="J15" s="19" t="str">
        <f t="shared" si="2"/>
        <v>rokwzgl=5 i lp=11400</v>
      </c>
      <c r="K15" s="19" t="str">
        <f t="shared" si="2"/>
        <v>rokwzgl=6 i lp=11400</v>
      </c>
      <c r="L15" s="19" t="str">
        <f t="shared" si="2"/>
        <v>rokwzgl=7 i lp=11400</v>
      </c>
      <c r="M15" s="19" t="str">
        <f t="shared" si="2"/>
        <v>rokwzgl=8 i lp=11400</v>
      </c>
      <c r="N15" s="19" t="str">
        <f t="shared" si="3"/>
        <v>rokwzgl=9 i lp=11400</v>
      </c>
      <c r="O15" s="19" t="str">
        <f t="shared" si="3"/>
        <v>rokwzgl=10 i lp=11400</v>
      </c>
      <c r="P15" s="19" t="str">
        <f t="shared" si="3"/>
        <v>rokwzgl=11 i lp=11400</v>
      </c>
      <c r="Q15" s="19" t="str">
        <f t="shared" si="3"/>
        <v>rokwzgl=12 i lp=11400</v>
      </c>
      <c r="R15" s="19" t="str">
        <f t="shared" si="3"/>
        <v>rokwzgl=13 i lp=11400</v>
      </c>
      <c r="S15" s="19" t="str">
        <f t="shared" si="3"/>
        <v>rokwzgl=14 i lp=11400</v>
      </c>
      <c r="T15" s="19" t="str">
        <f t="shared" si="3"/>
        <v>rokwzgl=15 i lp=11400</v>
      </c>
      <c r="U15" s="19" t="str">
        <f t="shared" si="3"/>
        <v>rokwzgl=16 i lp=11400</v>
      </c>
      <c r="V15" s="19" t="str">
        <f t="shared" si="3"/>
        <v>rokwzgl=17 i lp=11400</v>
      </c>
      <c r="W15" s="19" t="str">
        <f t="shared" si="3"/>
        <v>rokwzgl=18 i lp=11400</v>
      </c>
      <c r="X15" s="19" t="str">
        <f t="shared" si="4"/>
        <v>rokwzgl=19 i lp=11400</v>
      </c>
      <c r="Y15" s="19" t="str">
        <f t="shared" si="4"/>
        <v>rokwzgl=20 i lp=11400</v>
      </c>
      <c r="Z15" s="19" t="str">
        <f t="shared" si="4"/>
        <v>rokwzgl=21 i lp=11400</v>
      </c>
      <c r="AA15" s="19" t="str">
        <f t="shared" si="4"/>
        <v>rokwzgl=22 i lp=11400</v>
      </c>
      <c r="AB15" s="19" t="str">
        <f t="shared" si="4"/>
        <v>rokwzgl=23 i lp=11400</v>
      </c>
      <c r="AC15" s="19" t="str">
        <f t="shared" si="4"/>
        <v>rokwzgl=24 i lp=11400</v>
      </c>
      <c r="AD15" s="19" t="str">
        <f t="shared" si="4"/>
        <v>rokwzgl=25 i lp=11400</v>
      </c>
      <c r="AE15" s="19" t="str">
        <f t="shared" si="4"/>
        <v>rokwzgl=26 i lp=11400</v>
      </c>
      <c r="AF15" s="19" t="str">
        <f t="shared" si="4"/>
        <v>rokwzgl=27 i lp=11400</v>
      </c>
      <c r="AG15" s="19" t="str">
        <f t="shared" si="4"/>
        <v>rokwzgl=28 i lp=11400</v>
      </c>
      <c r="AH15" s="19" t="str">
        <f t="shared" si="4"/>
        <v>rokwzgl=29 i lp=11400</v>
      </c>
      <c r="AI15" s="19" t="str">
        <f t="shared" si="4"/>
        <v>rokwzgl=30 i lp=11400</v>
      </c>
      <c r="AJ15" s="19" t="str">
        <f t="shared" si="4"/>
        <v>rokwzgl=31 i lp=11400</v>
      </c>
      <c r="AK15" s="19" t="str">
        <f t="shared" si="4"/>
        <v>rokwzgl=32 i lp=11400</v>
      </c>
      <c r="AL15" s="19" t="str">
        <f t="shared" si="4"/>
        <v>rokwzgl=33 i lp=11400</v>
      </c>
      <c r="AM15" s="19" t="str">
        <f t="shared" si="4"/>
        <v>rokwzgl=34 i lp=11400</v>
      </c>
      <c r="AN15" s="19" t="str">
        <f t="shared" si="5"/>
        <v>rokwzgl=35 i lp=11400</v>
      </c>
      <c r="AO15" s="19" t="str">
        <f t="shared" si="5"/>
        <v>rokwzgl=36 i lp=11400</v>
      </c>
      <c r="AP15" s="19" t="str">
        <f t="shared" si="5"/>
        <v>rokwzgl=37 i lp=11400</v>
      </c>
      <c r="AQ15" s="19" t="str">
        <f t="shared" si="5"/>
        <v>rokwzgl=38 i lp=11400</v>
      </c>
      <c r="AR15" s="19" t="str">
        <f t="shared" si="5"/>
        <v>rokwzgl=39 i lp=11400</v>
      </c>
    </row>
    <row r="16" spans="1:44">
      <c r="A16" s="74">
        <v>11500</v>
      </c>
      <c r="B16" s="18" t="s">
        <v>36</v>
      </c>
      <c r="C16" s="19" t="s">
        <v>187</v>
      </c>
      <c r="D16" s="19" t="str">
        <f t="shared" si="2"/>
        <v>rokwzgl=0 i lp=11500</v>
      </c>
      <c r="E16" s="19" t="str">
        <f t="shared" si="2"/>
        <v>rokwzgl=0 i lp=11500</v>
      </c>
      <c r="F16" s="19" t="str">
        <f t="shared" si="2"/>
        <v>rokwzgl=1 i lp=11500</v>
      </c>
      <c r="G16" s="19" t="str">
        <f t="shared" si="2"/>
        <v>rokwzgl=2 i lp=11500</v>
      </c>
      <c r="H16" s="19" t="str">
        <f t="shared" si="2"/>
        <v>rokwzgl=3 i lp=11500</v>
      </c>
      <c r="I16" s="19" t="str">
        <f t="shared" si="2"/>
        <v>rokwzgl=4 i lp=11500</v>
      </c>
      <c r="J16" s="19" t="str">
        <f t="shared" si="2"/>
        <v>rokwzgl=5 i lp=11500</v>
      </c>
      <c r="K16" s="19" t="str">
        <f t="shared" si="2"/>
        <v>rokwzgl=6 i lp=11500</v>
      </c>
      <c r="L16" s="19" t="str">
        <f t="shared" si="2"/>
        <v>rokwzgl=7 i lp=11500</v>
      </c>
      <c r="M16" s="19" t="str">
        <f t="shared" si="2"/>
        <v>rokwzgl=8 i lp=11500</v>
      </c>
      <c r="N16" s="19" t="str">
        <f t="shared" si="3"/>
        <v>rokwzgl=9 i lp=11500</v>
      </c>
      <c r="O16" s="19" t="str">
        <f t="shared" si="3"/>
        <v>rokwzgl=10 i lp=11500</v>
      </c>
      <c r="P16" s="19" t="str">
        <f t="shared" si="3"/>
        <v>rokwzgl=11 i lp=11500</v>
      </c>
      <c r="Q16" s="19" t="str">
        <f t="shared" si="3"/>
        <v>rokwzgl=12 i lp=11500</v>
      </c>
      <c r="R16" s="19" t="str">
        <f t="shared" si="3"/>
        <v>rokwzgl=13 i lp=11500</v>
      </c>
      <c r="S16" s="19" t="str">
        <f t="shared" si="3"/>
        <v>rokwzgl=14 i lp=11500</v>
      </c>
      <c r="T16" s="19" t="str">
        <f t="shared" si="3"/>
        <v>rokwzgl=15 i lp=11500</v>
      </c>
      <c r="U16" s="19" t="str">
        <f t="shared" si="3"/>
        <v>rokwzgl=16 i lp=11500</v>
      </c>
      <c r="V16" s="19" t="str">
        <f t="shared" si="3"/>
        <v>rokwzgl=17 i lp=11500</v>
      </c>
      <c r="W16" s="19" t="str">
        <f t="shared" si="3"/>
        <v>rokwzgl=18 i lp=11500</v>
      </c>
      <c r="X16" s="19" t="str">
        <f t="shared" si="4"/>
        <v>rokwzgl=19 i lp=11500</v>
      </c>
      <c r="Y16" s="19" t="str">
        <f t="shared" si="4"/>
        <v>rokwzgl=20 i lp=11500</v>
      </c>
      <c r="Z16" s="19" t="str">
        <f t="shared" si="4"/>
        <v>rokwzgl=21 i lp=11500</v>
      </c>
      <c r="AA16" s="19" t="str">
        <f t="shared" si="4"/>
        <v>rokwzgl=22 i lp=11500</v>
      </c>
      <c r="AB16" s="19" t="str">
        <f t="shared" si="4"/>
        <v>rokwzgl=23 i lp=11500</v>
      </c>
      <c r="AC16" s="19" t="str">
        <f t="shared" si="4"/>
        <v>rokwzgl=24 i lp=11500</v>
      </c>
      <c r="AD16" s="19" t="str">
        <f t="shared" si="4"/>
        <v>rokwzgl=25 i lp=11500</v>
      </c>
      <c r="AE16" s="19" t="str">
        <f t="shared" si="4"/>
        <v>rokwzgl=26 i lp=11500</v>
      </c>
      <c r="AF16" s="19" t="str">
        <f t="shared" si="4"/>
        <v>rokwzgl=27 i lp=11500</v>
      </c>
      <c r="AG16" s="19" t="str">
        <f t="shared" si="4"/>
        <v>rokwzgl=28 i lp=11500</v>
      </c>
      <c r="AH16" s="19" t="str">
        <f t="shared" si="4"/>
        <v>rokwzgl=29 i lp=11500</v>
      </c>
      <c r="AI16" s="19" t="str">
        <f t="shared" si="4"/>
        <v>rokwzgl=30 i lp=11500</v>
      </c>
      <c r="AJ16" s="19" t="str">
        <f t="shared" si="4"/>
        <v>rokwzgl=31 i lp=11500</v>
      </c>
      <c r="AK16" s="19" t="str">
        <f t="shared" si="4"/>
        <v>rokwzgl=32 i lp=11500</v>
      </c>
      <c r="AL16" s="19" t="str">
        <f t="shared" si="4"/>
        <v>rokwzgl=33 i lp=11500</v>
      </c>
      <c r="AM16" s="19" t="str">
        <f t="shared" si="4"/>
        <v>rokwzgl=34 i lp=11500</v>
      </c>
      <c r="AN16" s="19" t="str">
        <f t="shared" si="5"/>
        <v>rokwzgl=35 i lp=11500</v>
      </c>
      <c r="AO16" s="19" t="str">
        <f t="shared" si="5"/>
        <v>rokwzgl=36 i lp=11500</v>
      </c>
      <c r="AP16" s="19" t="str">
        <f t="shared" si="5"/>
        <v>rokwzgl=37 i lp=11500</v>
      </c>
      <c r="AQ16" s="19" t="str">
        <f t="shared" si="5"/>
        <v>rokwzgl=38 i lp=11500</v>
      </c>
      <c r="AR16" s="19" t="str">
        <f t="shared" si="5"/>
        <v>rokwzgl=39 i lp=11500</v>
      </c>
    </row>
    <row r="17" spans="1:44">
      <c r="A17" s="74">
        <v>11510</v>
      </c>
      <c r="B17" s="18" t="s">
        <v>268</v>
      </c>
      <c r="C17" s="19" t="s">
        <v>188</v>
      </c>
      <c r="D17" s="19" t="str">
        <f t="shared" si="2"/>
        <v>rokwzgl=0 i lp=11510</v>
      </c>
      <c r="E17" s="19" t="str">
        <f t="shared" si="2"/>
        <v>rokwzgl=0 i lp=11510</v>
      </c>
      <c r="F17" s="19" t="str">
        <f t="shared" si="2"/>
        <v>rokwzgl=1 i lp=11510</v>
      </c>
      <c r="G17" s="19" t="str">
        <f t="shared" si="2"/>
        <v>rokwzgl=2 i lp=11510</v>
      </c>
      <c r="H17" s="19" t="str">
        <f t="shared" si="2"/>
        <v>rokwzgl=3 i lp=11510</v>
      </c>
      <c r="I17" s="19" t="str">
        <f t="shared" si="2"/>
        <v>rokwzgl=4 i lp=11510</v>
      </c>
      <c r="J17" s="19" t="str">
        <f t="shared" si="2"/>
        <v>rokwzgl=5 i lp=11510</v>
      </c>
      <c r="K17" s="19" t="str">
        <f t="shared" si="2"/>
        <v>rokwzgl=6 i lp=11510</v>
      </c>
      <c r="L17" s="19" t="str">
        <f t="shared" si="2"/>
        <v>rokwzgl=7 i lp=11510</v>
      </c>
      <c r="M17" s="19" t="str">
        <f t="shared" si="2"/>
        <v>rokwzgl=8 i lp=11510</v>
      </c>
      <c r="N17" s="19" t="str">
        <f t="shared" si="3"/>
        <v>rokwzgl=9 i lp=11510</v>
      </c>
      <c r="O17" s="19" t="str">
        <f t="shared" si="3"/>
        <v>rokwzgl=10 i lp=11510</v>
      </c>
      <c r="P17" s="19" t="str">
        <f t="shared" si="3"/>
        <v>rokwzgl=11 i lp=11510</v>
      </c>
      <c r="Q17" s="19" t="str">
        <f t="shared" si="3"/>
        <v>rokwzgl=12 i lp=11510</v>
      </c>
      <c r="R17" s="19" t="str">
        <f t="shared" si="3"/>
        <v>rokwzgl=13 i lp=11510</v>
      </c>
      <c r="S17" s="19" t="str">
        <f t="shared" si="3"/>
        <v>rokwzgl=14 i lp=11510</v>
      </c>
      <c r="T17" s="19" t="str">
        <f t="shared" si="3"/>
        <v>rokwzgl=15 i lp=11510</v>
      </c>
      <c r="U17" s="19" t="str">
        <f t="shared" si="3"/>
        <v>rokwzgl=16 i lp=11510</v>
      </c>
      <c r="V17" s="19" t="str">
        <f t="shared" si="3"/>
        <v>rokwzgl=17 i lp=11510</v>
      </c>
      <c r="W17" s="19" t="str">
        <f t="shared" si="3"/>
        <v>rokwzgl=18 i lp=11510</v>
      </c>
      <c r="X17" s="19" t="str">
        <f t="shared" si="4"/>
        <v>rokwzgl=19 i lp=11510</v>
      </c>
      <c r="Y17" s="19" t="str">
        <f t="shared" si="4"/>
        <v>rokwzgl=20 i lp=11510</v>
      </c>
      <c r="Z17" s="19" t="str">
        <f t="shared" si="4"/>
        <v>rokwzgl=21 i lp=11510</v>
      </c>
      <c r="AA17" s="19" t="str">
        <f t="shared" si="4"/>
        <v>rokwzgl=22 i lp=11510</v>
      </c>
      <c r="AB17" s="19" t="str">
        <f t="shared" si="4"/>
        <v>rokwzgl=23 i lp=11510</v>
      </c>
      <c r="AC17" s="19" t="str">
        <f t="shared" si="4"/>
        <v>rokwzgl=24 i lp=11510</v>
      </c>
      <c r="AD17" s="19" t="str">
        <f t="shared" si="4"/>
        <v>rokwzgl=25 i lp=11510</v>
      </c>
      <c r="AE17" s="19" t="str">
        <f t="shared" si="4"/>
        <v>rokwzgl=26 i lp=11510</v>
      </c>
      <c r="AF17" s="19" t="str">
        <f t="shared" si="4"/>
        <v>rokwzgl=27 i lp=11510</v>
      </c>
      <c r="AG17" s="19" t="str">
        <f t="shared" si="4"/>
        <v>rokwzgl=28 i lp=11510</v>
      </c>
      <c r="AH17" s="19" t="str">
        <f t="shared" si="4"/>
        <v>rokwzgl=29 i lp=11510</v>
      </c>
      <c r="AI17" s="19" t="str">
        <f t="shared" si="4"/>
        <v>rokwzgl=30 i lp=11510</v>
      </c>
      <c r="AJ17" s="19" t="str">
        <f t="shared" si="4"/>
        <v>rokwzgl=31 i lp=11510</v>
      </c>
      <c r="AK17" s="19" t="str">
        <f t="shared" si="4"/>
        <v>rokwzgl=32 i lp=11510</v>
      </c>
      <c r="AL17" s="19" t="str">
        <f t="shared" si="4"/>
        <v>rokwzgl=33 i lp=11510</v>
      </c>
      <c r="AM17" s="19" t="str">
        <f t="shared" si="4"/>
        <v>rokwzgl=34 i lp=11510</v>
      </c>
      <c r="AN17" s="19" t="str">
        <f t="shared" si="5"/>
        <v>rokwzgl=35 i lp=11510</v>
      </c>
      <c r="AO17" s="19" t="str">
        <f t="shared" si="5"/>
        <v>rokwzgl=36 i lp=11510</v>
      </c>
      <c r="AP17" s="19" t="str">
        <f t="shared" si="5"/>
        <v>rokwzgl=37 i lp=11510</v>
      </c>
      <c r="AQ17" s="19" t="str">
        <f t="shared" si="5"/>
        <v>rokwzgl=38 i lp=11510</v>
      </c>
      <c r="AR17" s="19" t="str">
        <f t="shared" si="5"/>
        <v>rokwzgl=39 i lp=11510</v>
      </c>
    </row>
    <row r="18" spans="1:44">
      <c r="A18" s="74">
        <v>12000</v>
      </c>
      <c r="B18" s="18" t="s">
        <v>52</v>
      </c>
      <c r="C18" s="19" t="s">
        <v>189</v>
      </c>
      <c r="D18" s="19" t="str">
        <f t="shared" si="2"/>
        <v>rokwzgl=0 i lp=12000</v>
      </c>
      <c r="E18" s="19" t="str">
        <f t="shared" si="2"/>
        <v>rokwzgl=0 i lp=12000</v>
      </c>
      <c r="F18" s="19" t="str">
        <f t="shared" si="2"/>
        <v>rokwzgl=1 i lp=12000</v>
      </c>
      <c r="G18" s="19" t="str">
        <f t="shared" si="2"/>
        <v>rokwzgl=2 i lp=12000</v>
      </c>
      <c r="H18" s="19" t="str">
        <f t="shared" si="2"/>
        <v>rokwzgl=3 i lp=12000</v>
      </c>
      <c r="I18" s="19" t="str">
        <f t="shared" si="2"/>
        <v>rokwzgl=4 i lp=12000</v>
      </c>
      <c r="J18" s="19" t="str">
        <f t="shared" si="2"/>
        <v>rokwzgl=5 i lp=12000</v>
      </c>
      <c r="K18" s="19" t="str">
        <f t="shared" si="2"/>
        <v>rokwzgl=6 i lp=12000</v>
      </c>
      <c r="L18" s="19" t="str">
        <f t="shared" si="2"/>
        <v>rokwzgl=7 i lp=12000</v>
      </c>
      <c r="M18" s="19" t="str">
        <f t="shared" si="2"/>
        <v>rokwzgl=8 i lp=12000</v>
      </c>
      <c r="N18" s="19" t="str">
        <f t="shared" si="3"/>
        <v>rokwzgl=9 i lp=12000</v>
      </c>
      <c r="O18" s="19" t="str">
        <f t="shared" si="3"/>
        <v>rokwzgl=10 i lp=12000</v>
      </c>
      <c r="P18" s="19" t="str">
        <f t="shared" si="3"/>
        <v>rokwzgl=11 i lp=12000</v>
      </c>
      <c r="Q18" s="19" t="str">
        <f t="shared" si="3"/>
        <v>rokwzgl=12 i lp=12000</v>
      </c>
      <c r="R18" s="19" t="str">
        <f t="shared" si="3"/>
        <v>rokwzgl=13 i lp=12000</v>
      </c>
      <c r="S18" s="19" t="str">
        <f t="shared" si="3"/>
        <v>rokwzgl=14 i lp=12000</v>
      </c>
      <c r="T18" s="19" t="str">
        <f t="shared" si="3"/>
        <v>rokwzgl=15 i lp=12000</v>
      </c>
      <c r="U18" s="19" t="str">
        <f t="shared" si="3"/>
        <v>rokwzgl=16 i lp=12000</v>
      </c>
      <c r="V18" s="19" t="str">
        <f t="shared" si="3"/>
        <v>rokwzgl=17 i lp=12000</v>
      </c>
      <c r="W18" s="19" t="str">
        <f t="shared" si="3"/>
        <v>rokwzgl=18 i lp=12000</v>
      </c>
      <c r="X18" s="19" t="str">
        <f t="shared" si="4"/>
        <v>rokwzgl=19 i lp=12000</v>
      </c>
      <c r="Y18" s="19" t="str">
        <f t="shared" si="4"/>
        <v>rokwzgl=20 i lp=12000</v>
      </c>
      <c r="Z18" s="19" t="str">
        <f t="shared" si="4"/>
        <v>rokwzgl=21 i lp=12000</v>
      </c>
      <c r="AA18" s="19" t="str">
        <f t="shared" si="4"/>
        <v>rokwzgl=22 i lp=12000</v>
      </c>
      <c r="AB18" s="19" t="str">
        <f t="shared" si="4"/>
        <v>rokwzgl=23 i lp=12000</v>
      </c>
      <c r="AC18" s="19" t="str">
        <f t="shared" si="4"/>
        <v>rokwzgl=24 i lp=12000</v>
      </c>
      <c r="AD18" s="19" t="str">
        <f t="shared" si="4"/>
        <v>rokwzgl=25 i lp=12000</v>
      </c>
      <c r="AE18" s="19" t="str">
        <f t="shared" si="4"/>
        <v>rokwzgl=26 i lp=12000</v>
      </c>
      <c r="AF18" s="19" t="str">
        <f t="shared" si="4"/>
        <v>rokwzgl=27 i lp=12000</v>
      </c>
      <c r="AG18" s="19" t="str">
        <f t="shared" si="4"/>
        <v>rokwzgl=28 i lp=12000</v>
      </c>
      <c r="AH18" s="19" t="str">
        <f t="shared" si="4"/>
        <v>rokwzgl=29 i lp=12000</v>
      </c>
      <c r="AI18" s="19" t="str">
        <f t="shared" si="4"/>
        <v>rokwzgl=30 i lp=12000</v>
      </c>
      <c r="AJ18" s="19" t="str">
        <f t="shared" si="4"/>
        <v>rokwzgl=31 i lp=12000</v>
      </c>
      <c r="AK18" s="19" t="str">
        <f t="shared" si="4"/>
        <v>rokwzgl=32 i lp=12000</v>
      </c>
      <c r="AL18" s="19" t="str">
        <f t="shared" si="4"/>
        <v>rokwzgl=33 i lp=12000</v>
      </c>
      <c r="AM18" s="19" t="str">
        <f t="shared" si="4"/>
        <v>rokwzgl=34 i lp=12000</v>
      </c>
      <c r="AN18" s="19" t="str">
        <f t="shared" si="5"/>
        <v>rokwzgl=35 i lp=12000</v>
      </c>
      <c r="AO18" s="19" t="str">
        <f t="shared" si="5"/>
        <v>rokwzgl=36 i lp=12000</v>
      </c>
      <c r="AP18" s="19" t="str">
        <f t="shared" si="5"/>
        <v>rokwzgl=37 i lp=12000</v>
      </c>
      <c r="AQ18" s="19" t="str">
        <f t="shared" si="5"/>
        <v>rokwzgl=38 i lp=12000</v>
      </c>
      <c r="AR18" s="19" t="str">
        <f t="shared" si="5"/>
        <v>rokwzgl=39 i lp=12000</v>
      </c>
    </row>
    <row r="19" spans="1:44">
      <c r="A19" s="74">
        <v>12100</v>
      </c>
      <c r="B19" s="18" t="s">
        <v>37</v>
      </c>
      <c r="C19" s="19" t="s">
        <v>190</v>
      </c>
      <c r="D19" s="19" t="str">
        <f t="shared" si="2"/>
        <v>rokwzgl=0 i lp=12100</v>
      </c>
      <c r="E19" s="19" t="str">
        <f t="shared" si="2"/>
        <v>rokwzgl=0 i lp=12100</v>
      </c>
      <c r="F19" s="19" t="str">
        <f t="shared" si="2"/>
        <v>rokwzgl=1 i lp=12100</v>
      </c>
      <c r="G19" s="19" t="str">
        <f t="shared" si="2"/>
        <v>rokwzgl=2 i lp=12100</v>
      </c>
      <c r="H19" s="19" t="str">
        <f t="shared" si="2"/>
        <v>rokwzgl=3 i lp=12100</v>
      </c>
      <c r="I19" s="19" t="str">
        <f t="shared" si="2"/>
        <v>rokwzgl=4 i lp=12100</v>
      </c>
      <c r="J19" s="19" t="str">
        <f t="shared" si="2"/>
        <v>rokwzgl=5 i lp=12100</v>
      </c>
      <c r="K19" s="19" t="str">
        <f t="shared" si="2"/>
        <v>rokwzgl=6 i lp=12100</v>
      </c>
      <c r="L19" s="19" t="str">
        <f t="shared" si="2"/>
        <v>rokwzgl=7 i lp=12100</v>
      </c>
      <c r="M19" s="19" t="str">
        <f t="shared" si="2"/>
        <v>rokwzgl=8 i lp=12100</v>
      </c>
      <c r="N19" s="19" t="str">
        <f t="shared" si="3"/>
        <v>rokwzgl=9 i lp=12100</v>
      </c>
      <c r="O19" s="19" t="str">
        <f t="shared" si="3"/>
        <v>rokwzgl=10 i lp=12100</v>
      </c>
      <c r="P19" s="19" t="str">
        <f t="shared" si="3"/>
        <v>rokwzgl=11 i lp=12100</v>
      </c>
      <c r="Q19" s="19" t="str">
        <f t="shared" si="3"/>
        <v>rokwzgl=12 i lp=12100</v>
      </c>
      <c r="R19" s="19" t="str">
        <f t="shared" si="3"/>
        <v>rokwzgl=13 i lp=12100</v>
      </c>
      <c r="S19" s="19" t="str">
        <f t="shared" si="3"/>
        <v>rokwzgl=14 i lp=12100</v>
      </c>
      <c r="T19" s="19" t="str">
        <f t="shared" si="3"/>
        <v>rokwzgl=15 i lp=12100</v>
      </c>
      <c r="U19" s="19" t="str">
        <f t="shared" si="3"/>
        <v>rokwzgl=16 i lp=12100</v>
      </c>
      <c r="V19" s="19" t="str">
        <f t="shared" si="3"/>
        <v>rokwzgl=17 i lp=12100</v>
      </c>
      <c r="W19" s="19" t="str">
        <f t="shared" si="3"/>
        <v>rokwzgl=18 i lp=12100</v>
      </c>
      <c r="X19" s="19" t="str">
        <f t="shared" si="4"/>
        <v>rokwzgl=19 i lp=12100</v>
      </c>
      <c r="Y19" s="19" t="str">
        <f t="shared" si="4"/>
        <v>rokwzgl=20 i lp=12100</v>
      </c>
      <c r="Z19" s="19" t="str">
        <f t="shared" si="4"/>
        <v>rokwzgl=21 i lp=12100</v>
      </c>
      <c r="AA19" s="19" t="str">
        <f t="shared" si="4"/>
        <v>rokwzgl=22 i lp=12100</v>
      </c>
      <c r="AB19" s="19" t="str">
        <f t="shared" si="4"/>
        <v>rokwzgl=23 i lp=12100</v>
      </c>
      <c r="AC19" s="19" t="str">
        <f t="shared" si="4"/>
        <v>rokwzgl=24 i lp=12100</v>
      </c>
      <c r="AD19" s="19" t="str">
        <f t="shared" si="4"/>
        <v>rokwzgl=25 i lp=12100</v>
      </c>
      <c r="AE19" s="19" t="str">
        <f t="shared" si="4"/>
        <v>rokwzgl=26 i lp=12100</v>
      </c>
      <c r="AF19" s="19" t="str">
        <f t="shared" si="4"/>
        <v>rokwzgl=27 i lp=12100</v>
      </c>
      <c r="AG19" s="19" t="str">
        <f t="shared" si="4"/>
        <v>rokwzgl=28 i lp=12100</v>
      </c>
      <c r="AH19" s="19" t="str">
        <f t="shared" si="4"/>
        <v>rokwzgl=29 i lp=12100</v>
      </c>
      <c r="AI19" s="19" t="str">
        <f t="shared" si="4"/>
        <v>rokwzgl=30 i lp=12100</v>
      </c>
      <c r="AJ19" s="19" t="str">
        <f t="shared" ref="AJ19:AM38" si="6">+"rokwzgl="&amp;AJ$9&amp;" i lp="&amp;$A19</f>
        <v>rokwzgl=31 i lp=12100</v>
      </c>
      <c r="AK19" s="19" t="str">
        <f t="shared" si="6"/>
        <v>rokwzgl=32 i lp=12100</v>
      </c>
      <c r="AL19" s="19" t="str">
        <f t="shared" si="6"/>
        <v>rokwzgl=33 i lp=12100</v>
      </c>
      <c r="AM19" s="19" t="str">
        <f t="shared" si="6"/>
        <v>rokwzgl=34 i lp=12100</v>
      </c>
      <c r="AN19" s="19" t="str">
        <f t="shared" si="5"/>
        <v>rokwzgl=35 i lp=12100</v>
      </c>
      <c r="AO19" s="19" t="str">
        <f t="shared" si="5"/>
        <v>rokwzgl=36 i lp=12100</v>
      </c>
      <c r="AP19" s="19" t="str">
        <f t="shared" si="5"/>
        <v>rokwzgl=37 i lp=12100</v>
      </c>
      <c r="AQ19" s="19" t="str">
        <f t="shared" si="5"/>
        <v>rokwzgl=38 i lp=12100</v>
      </c>
      <c r="AR19" s="19" t="str">
        <f t="shared" si="5"/>
        <v>rokwzgl=39 i lp=12100</v>
      </c>
    </row>
    <row r="20" spans="1:44">
      <c r="A20" s="74">
        <v>12200</v>
      </c>
      <c r="B20" s="18" t="s">
        <v>38</v>
      </c>
      <c r="C20" s="19" t="s">
        <v>191</v>
      </c>
      <c r="D20" s="19" t="str">
        <f t="shared" si="2"/>
        <v>rokwzgl=0 i lp=12200</v>
      </c>
      <c r="E20" s="19" t="str">
        <f t="shared" si="2"/>
        <v>rokwzgl=0 i lp=12200</v>
      </c>
      <c r="F20" s="19" t="str">
        <f t="shared" si="2"/>
        <v>rokwzgl=1 i lp=12200</v>
      </c>
      <c r="G20" s="19" t="str">
        <f t="shared" si="2"/>
        <v>rokwzgl=2 i lp=12200</v>
      </c>
      <c r="H20" s="19" t="str">
        <f t="shared" si="2"/>
        <v>rokwzgl=3 i lp=12200</v>
      </c>
      <c r="I20" s="19" t="str">
        <f t="shared" si="2"/>
        <v>rokwzgl=4 i lp=12200</v>
      </c>
      <c r="J20" s="19" t="str">
        <f t="shared" si="2"/>
        <v>rokwzgl=5 i lp=12200</v>
      </c>
      <c r="K20" s="19" t="str">
        <f t="shared" si="2"/>
        <v>rokwzgl=6 i lp=12200</v>
      </c>
      <c r="L20" s="19" t="str">
        <f t="shared" si="2"/>
        <v>rokwzgl=7 i lp=12200</v>
      </c>
      <c r="M20" s="19" t="str">
        <f t="shared" si="2"/>
        <v>rokwzgl=8 i lp=12200</v>
      </c>
      <c r="N20" s="19" t="str">
        <f t="shared" si="3"/>
        <v>rokwzgl=9 i lp=12200</v>
      </c>
      <c r="O20" s="19" t="str">
        <f t="shared" si="3"/>
        <v>rokwzgl=10 i lp=12200</v>
      </c>
      <c r="P20" s="19" t="str">
        <f t="shared" si="3"/>
        <v>rokwzgl=11 i lp=12200</v>
      </c>
      <c r="Q20" s="19" t="str">
        <f t="shared" si="3"/>
        <v>rokwzgl=12 i lp=12200</v>
      </c>
      <c r="R20" s="19" t="str">
        <f t="shared" si="3"/>
        <v>rokwzgl=13 i lp=12200</v>
      </c>
      <c r="S20" s="19" t="str">
        <f t="shared" si="3"/>
        <v>rokwzgl=14 i lp=12200</v>
      </c>
      <c r="T20" s="19" t="str">
        <f t="shared" si="3"/>
        <v>rokwzgl=15 i lp=12200</v>
      </c>
      <c r="U20" s="19" t="str">
        <f t="shared" si="3"/>
        <v>rokwzgl=16 i lp=12200</v>
      </c>
      <c r="V20" s="19" t="str">
        <f t="shared" si="3"/>
        <v>rokwzgl=17 i lp=12200</v>
      </c>
      <c r="W20" s="19" t="str">
        <f t="shared" si="3"/>
        <v>rokwzgl=18 i lp=12200</v>
      </c>
      <c r="X20" s="19" t="str">
        <f t="shared" ref="X20:AI29" si="7">+"rokwzgl="&amp;X$9&amp;" i lp="&amp;$A20</f>
        <v>rokwzgl=19 i lp=12200</v>
      </c>
      <c r="Y20" s="19" t="str">
        <f t="shared" si="7"/>
        <v>rokwzgl=20 i lp=12200</v>
      </c>
      <c r="Z20" s="19" t="str">
        <f t="shared" si="7"/>
        <v>rokwzgl=21 i lp=12200</v>
      </c>
      <c r="AA20" s="19" t="str">
        <f t="shared" si="7"/>
        <v>rokwzgl=22 i lp=12200</v>
      </c>
      <c r="AB20" s="19" t="str">
        <f t="shared" si="7"/>
        <v>rokwzgl=23 i lp=12200</v>
      </c>
      <c r="AC20" s="19" t="str">
        <f t="shared" si="7"/>
        <v>rokwzgl=24 i lp=12200</v>
      </c>
      <c r="AD20" s="19" t="str">
        <f t="shared" si="7"/>
        <v>rokwzgl=25 i lp=12200</v>
      </c>
      <c r="AE20" s="19" t="str">
        <f t="shared" si="7"/>
        <v>rokwzgl=26 i lp=12200</v>
      </c>
      <c r="AF20" s="19" t="str">
        <f t="shared" si="7"/>
        <v>rokwzgl=27 i lp=12200</v>
      </c>
      <c r="AG20" s="19" t="str">
        <f t="shared" si="7"/>
        <v>rokwzgl=28 i lp=12200</v>
      </c>
      <c r="AH20" s="19" t="str">
        <f t="shared" si="7"/>
        <v>rokwzgl=29 i lp=12200</v>
      </c>
      <c r="AI20" s="19" t="str">
        <f t="shared" si="7"/>
        <v>rokwzgl=30 i lp=12200</v>
      </c>
      <c r="AJ20" s="19" t="str">
        <f t="shared" si="6"/>
        <v>rokwzgl=31 i lp=12200</v>
      </c>
      <c r="AK20" s="19" t="str">
        <f t="shared" si="6"/>
        <v>rokwzgl=32 i lp=12200</v>
      </c>
      <c r="AL20" s="19" t="str">
        <f t="shared" si="6"/>
        <v>rokwzgl=33 i lp=12200</v>
      </c>
      <c r="AM20" s="19" t="str">
        <f t="shared" si="6"/>
        <v>rokwzgl=34 i lp=12200</v>
      </c>
      <c r="AN20" s="19" t="str">
        <f t="shared" si="5"/>
        <v>rokwzgl=35 i lp=12200</v>
      </c>
      <c r="AO20" s="19" t="str">
        <f t="shared" si="5"/>
        <v>rokwzgl=36 i lp=12200</v>
      </c>
      <c r="AP20" s="19" t="str">
        <f t="shared" si="5"/>
        <v>rokwzgl=37 i lp=12200</v>
      </c>
      <c r="AQ20" s="19" t="str">
        <f t="shared" si="5"/>
        <v>rokwzgl=38 i lp=12200</v>
      </c>
      <c r="AR20" s="19" t="str">
        <f t="shared" si="5"/>
        <v>rokwzgl=39 i lp=12200</v>
      </c>
    </row>
    <row r="21" spans="1:44">
      <c r="A21" s="74">
        <v>20000</v>
      </c>
      <c r="B21" s="18">
        <v>2</v>
      </c>
      <c r="C21" s="19" t="s">
        <v>19</v>
      </c>
      <c r="D21" s="19" t="str">
        <f t="shared" si="2"/>
        <v>rokwzgl=0 i lp=20000</v>
      </c>
      <c r="E21" s="19" t="str">
        <f t="shared" si="2"/>
        <v>rokwzgl=0 i lp=20000</v>
      </c>
      <c r="F21" s="19" t="str">
        <f t="shared" si="2"/>
        <v>rokwzgl=1 i lp=20000</v>
      </c>
      <c r="G21" s="19" t="str">
        <f t="shared" si="2"/>
        <v>rokwzgl=2 i lp=20000</v>
      </c>
      <c r="H21" s="19" t="str">
        <f t="shared" si="2"/>
        <v>rokwzgl=3 i lp=20000</v>
      </c>
      <c r="I21" s="19" t="str">
        <f t="shared" si="2"/>
        <v>rokwzgl=4 i lp=20000</v>
      </c>
      <c r="J21" s="19" t="str">
        <f t="shared" si="2"/>
        <v>rokwzgl=5 i lp=20000</v>
      </c>
      <c r="K21" s="19" t="str">
        <f t="shared" si="2"/>
        <v>rokwzgl=6 i lp=20000</v>
      </c>
      <c r="L21" s="19" t="str">
        <f t="shared" si="2"/>
        <v>rokwzgl=7 i lp=20000</v>
      </c>
      <c r="M21" s="19" t="str">
        <f t="shared" si="2"/>
        <v>rokwzgl=8 i lp=20000</v>
      </c>
      <c r="N21" s="19" t="str">
        <f t="shared" si="3"/>
        <v>rokwzgl=9 i lp=20000</v>
      </c>
      <c r="O21" s="19" t="str">
        <f t="shared" si="3"/>
        <v>rokwzgl=10 i lp=20000</v>
      </c>
      <c r="P21" s="19" t="str">
        <f t="shared" si="3"/>
        <v>rokwzgl=11 i lp=20000</v>
      </c>
      <c r="Q21" s="19" t="str">
        <f t="shared" si="3"/>
        <v>rokwzgl=12 i lp=20000</v>
      </c>
      <c r="R21" s="19" t="str">
        <f t="shared" si="3"/>
        <v>rokwzgl=13 i lp=20000</v>
      </c>
      <c r="S21" s="19" t="str">
        <f t="shared" si="3"/>
        <v>rokwzgl=14 i lp=20000</v>
      </c>
      <c r="T21" s="19" t="str">
        <f t="shared" si="3"/>
        <v>rokwzgl=15 i lp=20000</v>
      </c>
      <c r="U21" s="19" t="str">
        <f t="shared" si="3"/>
        <v>rokwzgl=16 i lp=20000</v>
      </c>
      <c r="V21" s="19" t="str">
        <f t="shared" si="3"/>
        <v>rokwzgl=17 i lp=20000</v>
      </c>
      <c r="W21" s="19" t="str">
        <f t="shared" si="3"/>
        <v>rokwzgl=18 i lp=20000</v>
      </c>
      <c r="X21" s="19" t="str">
        <f t="shared" si="7"/>
        <v>rokwzgl=19 i lp=20000</v>
      </c>
      <c r="Y21" s="19" t="str">
        <f t="shared" si="7"/>
        <v>rokwzgl=20 i lp=20000</v>
      </c>
      <c r="Z21" s="19" t="str">
        <f t="shared" si="7"/>
        <v>rokwzgl=21 i lp=20000</v>
      </c>
      <c r="AA21" s="19" t="str">
        <f t="shared" si="7"/>
        <v>rokwzgl=22 i lp=20000</v>
      </c>
      <c r="AB21" s="19" t="str">
        <f t="shared" si="7"/>
        <v>rokwzgl=23 i lp=20000</v>
      </c>
      <c r="AC21" s="19" t="str">
        <f t="shared" si="7"/>
        <v>rokwzgl=24 i lp=20000</v>
      </c>
      <c r="AD21" s="19" t="str">
        <f t="shared" si="7"/>
        <v>rokwzgl=25 i lp=20000</v>
      </c>
      <c r="AE21" s="19" t="str">
        <f t="shared" si="7"/>
        <v>rokwzgl=26 i lp=20000</v>
      </c>
      <c r="AF21" s="19" t="str">
        <f t="shared" si="7"/>
        <v>rokwzgl=27 i lp=20000</v>
      </c>
      <c r="AG21" s="19" t="str">
        <f t="shared" si="7"/>
        <v>rokwzgl=28 i lp=20000</v>
      </c>
      <c r="AH21" s="19" t="str">
        <f t="shared" si="7"/>
        <v>rokwzgl=29 i lp=20000</v>
      </c>
      <c r="AI21" s="19" t="str">
        <f t="shared" si="7"/>
        <v>rokwzgl=30 i lp=20000</v>
      </c>
      <c r="AJ21" s="19" t="str">
        <f t="shared" si="6"/>
        <v>rokwzgl=31 i lp=20000</v>
      </c>
      <c r="AK21" s="19" t="str">
        <f t="shared" si="6"/>
        <v>rokwzgl=32 i lp=20000</v>
      </c>
      <c r="AL21" s="19" t="str">
        <f t="shared" si="6"/>
        <v>rokwzgl=33 i lp=20000</v>
      </c>
      <c r="AM21" s="19" t="str">
        <f t="shared" si="6"/>
        <v>rokwzgl=34 i lp=20000</v>
      </c>
      <c r="AN21" s="19" t="str">
        <f t="shared" si="5"/>
        <v>rokwzgl=35 i lp=20000</v>
      </c>
      <c r="AO21" s="19" t="str">
        <f t="shared" si="5"/>
        <v>rokwzgl=36 i lp=20000</v>
      </c>
      <c r="AP21" s="19" t="str">
        <f t="shared" si="5"/>
        <v>rokwzgl=37 i lp=20000</v>
      </c>
      <c r="AQ21" s="19" t="str">
        <f t="shared" si="5"/>
        <v>rokwzgl=38 i lp=20000</v>
      </c>
      <c r="AR21" s="19" t="str">
        <f t="shared" si="5"/>
        <v>rokwzgl=39 i lp=20000</v>
      </c>
    </row>
    <row r="22" spans="1:44">
      <c r="A22" s="74">
        <v>21000</v>
      </c>
      <c r="B22" s="18" t="s">
        <v>53</v>
      </c>
      <c r="C22" s="19" t="s">
        <v>192</v>
      </c>
      <c r="D22" s="19" t="str">
        <f t="shared" si="2"/>
        <v>rokwzgl=0 i lp=21000</v>
      </c>
      <c r="E22" s="19" t="str">
        <f t="shared" si="2"/>
        <v>rokwzgl=0 i lp=21000</v>
      </c>
      <c r="F22" s="19" t="str">
        <f t="shared" si="2"/>
        <v>rokwzgl=1 i lp=21000</v>
      </c>
      <c r="G22" s="19" t="str">
        <f t="shared" si="2"/>
        <v>rokwzgl=2 i lp=21000</v>
      </c>
      <c r="H22" s="19" t="str">
        <f t="shared" si="2"/>
        <v>rokwzgl=3 i lp=21000</v>
      </c>
      <c r="I22" s="19" t="str">
        <f t="shared" si="2"/>
        <v>rokwzgl=4 i lp=21000</v>
      </c>
      <c r="J22" s="19" t="str">
        <f t="shared" si="2"/>
        <v>rokwzgl=5 i lp=21000</v>
      </c>
      <c r="K22" s="19" t="str">
        <f t="shared" si="2"/>
        <v>rokwzgl=6 i lp=21000</v>
      </c>
      <c r="L22" s="19" t="str">
        <f t="shared" si="2"/>
        <v>rokwzgl=7 i lp=21000</v>
      </c>
      <c r="M22" s="19" t="str">
        <f t="shared" si="2"/>
        <v>rokwzgl=8 i lp=21000</v>
      </c>
      <c r="N22" s="19" t="str">
        <f t="shared" si="3"/>
        <v>rokwzgl=9 i lp=21000</v>
      </c>
      <c r="O22" s="19" t="str">
        <f t="shared" si="3"/>
        <v>rokwzgl=10 i lp=21000</v>
      </c>
      <c r="P22" s="19" t="str">
        <f t="shared" si="3"/>
        <v>rokwzgl=11 i lp=21000</v>
      </c>
      <c r="Q22" s="19" t="str">
        <f t="shared" si="3"/>
        <v>rokwzgl=12 i lp=21000</v>
      </c>
      <c r="R22" s="19" t="str">
        <f t="shared" si="3"/>
        <v>rokwzgl=13 i lp=21000</v>
      </c>
      <c r="S22" s="19" t="str">
        <f t="shared" si="3"/>
        <v>rokwzgl=14 i lp=21000</v>
      </c>
      <c r="T22" s="19" t="str">
        <f t="shared" si="3"/>
        <v>rokwzgl=15 i lp=21000</v>
      </c>
      <c r="U22" s="19" t="str">
        <f t="shared" si="3"/>
        <v>rokwzgl=16 i lp=21000</v>
      </c>
      <c r="V22" s="19" t="str">
        <f t="shared" si="3"/>
        <v>rokwzgl=17 i lp=21000</v>
      </c>
      <c r="W22" s="19" t="str">
        <f t="shared" si="3"/>
        <v>rokwzgl=18 i lp=21000</v>
      </c>
      <c r="X22" s="19" t="str">
        <f t="shared" si="7"/>
        <v>rokwzgl=19 i lp=21000</v>
      </c>
      <c r="Y22" s="19" t="str">
        <f t="shared" si="7"/>
        <v>rokwzgl=20 i lp=21000</v>
      </c>
      <c r="Z22" s="19" t="str">
        <f t="shared" si="7"/>
        <v>rokwzgl=21 i lp=21000</v>
      </c>
      <c r="AA22" s="19" t="str">
        <f t="shared" si="7"/>
        <v>rokwzgl=22 i lp=21000</v>
      </c>
      <c r="AB22" s="19" t="str">
        <f t="shared" si="7"/>
        <v>rokwzgl=23 i lp=21000</v>
      </c>
      <c r="AC22" s="19" t="str">
        <f t="shared" si="7"/>
        <v>rokwzgl=24 i lp=21000</v>
      </c>
      <c r="AD22" s="19" t="str">
        <f t="shared" si="7"/>
        <v>rokwzgl=25 i lp=21000</v>
      </c>
      <c r="AE22" s="19" t="str">
        <f t="shared" si="7"/>
        <v>rokwzgl=26 i lp=21000</v>
      </c>
      <c r="AF22" s="19" t="str">
        <f t="shared" si="7"/>
        <v>rokwzgl=27 i lp=21000</v>
      </c>
      <c r="AG22" s="19" t="str">
        <f t="shared" si="7"/>
        <v>rokwzgl=28 i lp=21000</v>
      </c>
      <c r="AH22" s="19" t="str">
        <f t="shared" si="7"/>
        <v>rokwzgl=29 i lp=21000</v>
      </c>
      <c r="AI22" s="19" t="str">
        <f t="shared" si="7"/>
        <v>rokwzgl=30 i lp=21000</v>
      </c>
      <c r="AJ22" s="19" t="str">
        <f t="shared" si="6"/>
        <v>rokwzgl=31 i lp=21000</v>
      </c>
      <c r="AK22" s="19" t="str">
        <f t="shared" si="6"/>
        <v>rokwzgl=32 i lp=21000</v>
      </c>
      <c r="AL22" s="19" t="str">
        <f t="shared" si="6"/>
        <v>rokwzgl=33 i lp=21000</v>
      </c>
      <c r="AM22" s="19" t="str">
        <f t="shared" si="6"/>
        <v>rokwzgl=34 i lp=21000</v>
      </c>
      <c r="AN22" s="19" t="str">
        <f t="shared" si="5"/>
        <v>rokwzgl=35 i lp=21000</v>
      </c>
      <c r="AO22" s="19" t="str">
        <f t="shared" si="5"/>
        <v>rokwzgl=36 i lp=21000</v>
      </c>
      <c r="AP22" s="19" t="str">
        <f t="shared" si="5"/>
        <v>rokwzgl=37 i lp=21000</v>
      </c>
      <c r="AQ22" s="19" t="str">
        <f t="shared" si="5"/>
        <v>rokwzgl=38 i lp=21000</v>
      </c>
      <c r="AR22" s="19" t="str">
        <f t="shared" si="5"/>
        <v>rokwzgl=39 i lp=21000</v>
      </c>
    </row>
    <row r="23" spans="1:44">
      <c r="A23" s="74">
        <v>21100</v>
      </c>
      <c r="B23" s="18" t="s">
        <v>39</v>
      </c>
      <c r="C23" s="19" t="s">
        <v>193</v>
      </c>
      <c r="D23" s="19" t="str">
        <f t="shared" si="2"/>
        <v>rokwzgl=0 i lp=21100</v>
      </c>
      <c r="E23" s="19" t="str">
        <f t="shared" si="2"/>
        <v>rokwzgl=0 i lp=21100</v>
      </c>
      <c r="F23" s="19" t="str">
        <f t="shared" si="2"/>
        <v>rokwzgl=1 i lp=21100</v>
      </c>
      <c r="G23" s="19" t="str">
        <f t="shared" si="2"/>
        <v>rokwzgl=2 i lp=21100</v>
      </c>
      <c r="H23" s="19" t="str">
        <f t="shared" si="2"/>
        <v>rokwzgl=3 i lp=21100</v>
      </c>
      <c r="I23" s="19" t="str">
        <f t="shared" si="2"/>
        <v>rokwzgl=4 i lp=21100</v>
      </c>
      <c r="J23" s="19" t="str">
        <f t="shared" si="2"/>
        <v>rokwzgl=5 i lp=21100</v>
      </c>
      <c r="K23" s="19" t="str">
        <f t="shared" si="2"/>
        <v>rokwzgl=6 i lp=21100</v>
      </c>
      <c r="L23" s="19" t="str">
        <f t="shared" si="2"/>
        <v>rokwzgl=7 i lp=21100</v>
      </c>
      <c r="M23" s="19" t="str">
        <f t="shared" si="2"/>
        <v>rokwzgl=8 i lp=21100</v>
      </c>
      <c r="N23" s="19" t="str">
        <f t="shared" si="3"/>
        <v>rokwzgl=9 i lp=21100</v>
      </c>
      <c r="O23" s="19" t="str">
        <f t="shared" si="3"/>
        <v>rokwzgl=10 i lp=21100</v>
      </c>
      <c r="P23" s="19" t="str">
        <f t="shared" si="3"/>
        <v>rokwzgl=11 i lp=21100</v>
      </c>
      <c r="Q23" s="19" t="str">
        <f t="shared" si="3"/>
        <v>rokwzgl=12 i lp=21100</v>
      </c>
      <c r="R23" s="19" t="str">
        <f t="shared" si="3"/>
        <v>rokwzgl=13 i lp=21100</v>
      </c>
      <c r="S23" s="19" t="str">
        <f t="shared" si="3"/>
        <v>rokwzgl=14 i lp=21100</v>
      </c>
      <c r="T23" s="19" t="str">
        <f t="shared" si="3"/>
        <v>rokwzgl=15 i lp=21100</v>
      </c>
      <c r="U23" s="19" t="str">
        <f t="shared" si="3"/>
        <v>rokwzgl=16 i lp=21100</v>
      </c>
      <c r="V23" s="19" t="str">
        <f t="shared" si="3"/>
        <v>rokwzgl=17 i lp=21100</v>
      </c>
      <c r="W23" s="19" t="str">
        <f t="shared" si="3"/>
        <v>rokwzgl=18 i lp=21100</v>
      </c>
      <c r="X23" s="19" t="str">
        <f t="shared" si="7"/>
        <v>rokwzgl=19 i lp=21100</v>
      </c>
      <c r="Y23" s="19" t="str">
        <f t="shared" si="7"/>
        <v>rokwzgl=20 i lp=21100</v>
      </c>
      <c r="Z23" s="19" t="str">
        <f t="shared" si="7"/>
        <v>rokwzgl=21 i lp=21100</v>
      </c>
      <c r="AA23" s="19" t="str">
        <f t="shared" si="7"/>
        <v>rokwzgl=22 i lp=21100</v>
      </c>
      <c r="AB23" s="19" t="str">
        <f t="shared" si="7"/>
        <v>rokwzgl=23 i lp=21100</v>
      </c>
      <c r="AC23" s="19" t="str">
        <f t="shared" si="7"/>
        <v>rokwzgl=24 i lp=21100</v>
      </c>
      <c r="AD23" s="19" t="str">
        <f t="shared" si="7"/>
        <v>rokwzgl=25 i lp=21100</v>
      </c>
      <c r="AE23" s="19" t="str">
        <f t="shared" si="7"/>
        <v>rokwzgl=26 i lp=21100</v>
      </c>
      <c r="AF23" s="19" t="str">
        <f t="shared" si="7"/>
        <v>rokwzgl=27 i lp=21100</v>
      </c>
      <c r="AG23" s="19" t="str">
        <f t="shared" si="7"/>
        <v>rokwzgl=28 i lp=21100</v>
      </c>
      <c r="AH23" s="19" t="str">
        <f t="shared" si="7"/>
        <v>rokwzgl=29 i lp=21100</v>
      </c>
      <c r="AI23" s="19" t="str">
        <f t="shared" si="7"/>
        <v>rokwzgl=30 i lp=21100</v>
      </c>
      <c r="AJ23" s="19" t="str">
        <f t="shared" si="6"/>
        <v>rokwzgl=31 i lp=21100</v>
      </c>
      <c r="AK23" s="19" t="str">
        <f t="shared" si="6"/>
        <v>rokwzgl=32 i lp=21100</v>
      </c>
      <c r="AL23" s="19" t="str">
        <f t="shared" si="6"/>
        <v>rokwzgl=33 i lp=21100</v>
      </c>
      <c r="AM23" s="19" t="str">
        <f t="shared" si="6"/>
        <v>rokwzgl=34 i lp=21100</v>
      </c>
      <c r="AN23" s="19" t="str">
        <f t="shared" si="5"/>
        <v>rokwzgl=35 i lp=21100</v>
      </c>
      <c r="AO23" s="19" t="str">
        <f t="shared" si="5"/>
        <v>rokwzgl=36 i lp=21100</v>
      </c>
      <c r="AP23" s="19" t="str">
        <f t="shared" si="5"/>
        <v>rokwzgl=37 i lp=21100</v>
      </c>
      <c r="AQ23" s="19" t="str">
        <f t="shared" si="5"/>
        <v>rokwzgl=38 i lp=21100</v>
      </c>
      <c r="AR23" s="19" t="str">
        <f t="shared" si="5"/>
        <v>rokwzgl=39 i lp=21100</v>
      </c>
    </row>
    <row r="24" spans="1:44">
      <c r="A24" s="74">
        <v>21200</v>
      </c>
      <c r="B24" s="18" t="s">
        <v>40</v>
      </c>
      <c r="C24" s="19" t="s">
        <v>194</v>
      </c>
      <c r="D24" s="19" t="str">
        <f t="shared" si="2"/>
        <v>rokwzgl=0 i lp=21200</v>
      </c>
      <c r="E24" s="19" t="str">
        <f t="shared" si="2"/>
        <v>rokwzgl=0 i lp=21200</v>
      </c>
      <c r="F24" s="19" t="str">
        <f t="shared" si="2"/>
        <v>rokwzgl=1 i lp=21200</v>
      </c>
      <c r="G24" s="19" t="str">
        <f t="shared" si="2"/>
        <v>rokwzgl=2 i lp=21200</v>
      </c>
      <c r="H24" s="19" t="str">
        <f t="shared" si="2"/>
        <v>rokwzgl=3 i lp=21200</v>
      </c>
      <c r="I24" s="19" t="str">
        <f t="shared" si="2"/>
        <v>rokwzgl=4 i lp=21200</v>
      </c>
      <c r="J24" s="19" t="str">
        <f t="shared" si="2"/>
        <v>rokwzgl=5 i lp=21200</v>
      </c>
      <c r="K24" s="19" t="str">
        <f t="shared" si="2"/>
        <v>rokwzgl=6 i lp=21200</v>
      </c>
      <c r="L24" s="19" t="str">
        <f t="shared" si="2"/>
        <v>rokwzgl=7 i lp=21200</v>
      </c>
      <c r="M24" s="19" t="str">
        <f t="shared" si="2"/>
        <v>rokwzgl=8 i lp=21200</v>
      </c>
      <c r="N24" s="19" t="str">
        <f t="shared" si="3"/>
        <v>rokwzgl=9 i lp=21200</v>
      </c>
      <c r="O24" s="19" t="str">
        <f t="shared" si="3"/>
        <v>rokwzgl=10 i lp=21200</v>
      </c>
      <c r="P24" s="19" t="str">
        <f t="shared" si="3"/>
        <v>rokwzgl=11 i lp=21200</v>
      </c>
      <c r="Q24" s="19" t="str">
        <f t="shared" si="3"/>
        <v>rokwzgl=12 i lp=21200</v>
      </c>
      <c r="R24" s="19" t="str">
        <f t="shared" si="3"/>
        <v>rokwzgl=13 i lp=21200</v>
      </c>
      <c r="S24" s="19" t="str">
        <f t="shared" si="3"/>
        <v>rokwzgl=14 i lp=21200</v>
      </c>
      <c r="T24" s="19" t="str">
        <f t="shared" si="3"/>
        <v>rokwzgl=15 i lp=21200</v>
      </c>
      <c r="U24" s="19" t="str">
        <f t="shared" si="3"/>
        <v>rokwzgl=16 i lp=21200</v>
      </c>
      <c r="V24" s="19" t="str">
        <f t="shared" si="3"/>
        <v>rokwzgl=17 i lp=21200</v>
      </c>
      <c r="W24" s="19" t="str">
        <f t="shared" si="3"/>
        <v>rokwzgl=18 i lp=21200</v>
      </c>
      <c r="X24" s="19" t="str">
        <f t="shared" si="7"/>
        <v>rokwzgl=19 i lp=21200</v>
      </c>
      <c r="Y24" s="19" t="str">
        <f t="shared" si="7"/>
        <v>rokwzgl=20 i lp=21200</v>
      </c>
      <c r="Z24" s="19" t="str">
        <f t="shared" si="7"/>
        <v>rokwzgl=21 i lp=21200</v>
      </c>
      <c r="AA24" s="19" t="str">
        <f t="shared" si="7"/>
        <v>rokwzgl=22 i lp=21200</v>
      </c>
      <c r="AB24" s="19" t="str">
        <f t="shared" si="7"/>
        <v>rokwzgl=23 i lp=21200</v>
      </c>
      <c r="AC24" s="19" t="str">
        <f t="shared" si="7"/>
        <v>rokwzgl=24 i lp=21200</v>
      </c>
      <c r="AD24" s="19" t="str">
        <f t="shared" si="7"/>
        <v>rokwzgl=25 i lp=21200</v>
      </c>
      <c r="AE24" s="19" t="str">
        <f t="shared" si="7"/>
        <v>rokwzgl=26 i lp=21200</v>
      </c>
      <c r="AF24" s="19" t="str">
        <f t="shared" si="7"/>
        <v>rokwzgl=27 i lp=21200</v>
      </c>
      <c r="AG24" s="19" t="str">
        <f t="shared" si="7"/>
        <v>rokwzgl=28 i lp=21200</v>
      </c>
      <c r="AH24" s="19" t="str">
        <f t="shared" si="7"/>
        <v>rokwzgl=29 i lp=21200</v>
      </c>
      <c r="AI24" s="19" t="str">
        <f t="shared" si="7"/>
        <v>rokwzgl=30 i lp=21200</v>
      </c>
      <c r="AJ24" s="19" t="str">
        <f t="shared" si="6"/>
        <v>rokwzgl=31 i lp=21200</v>
      </c>
      <c r="AK24" s="19" t="str">
        <f t="shared" si="6"/>
        <v>rokwzgl=32 i lp=21200</v>
      </c>
      <c r="AL24" s="19" t="str">
        <f t="shared" si="6"/>
        <v>rokwzgl=33 i lp=21200</v>
      </c>
      <c r="AM24" s="19" t="str">
        <f t="shared" si="6"/>
        <v>rokwzgl=34 i lp=21200</v>
      </c>
      <c r="AN24" s="19" t="str">
        <f t="shared" si="5"/>
        <v>rokwzgl=35 i lp=21200</v>
      </c>
      <c r="AO24" s="19" t="str">
        <f t="shared" si="5"/>
        <v>rokwzgl=36 i lp=21200</v>
      </c>
      <c r="AP24" s="19" t="str">
        <f t="shared" si="5"/>
        <v>rokwzgl=37 i lp=21200</v>
      </c>
      <c r="AQ24" s="19" t="str">
        <f t="shared" si="5"/>
        <v>rokwzgl=38 i lp=21200</v>
      </c>
      <c r="AR24" s="19" t="str">
        <f t="shared" si="5"/>
        <v>rokwzgl=39 i lp=21200</v>
      </c>
    </row>
    <row r="25" spans="1:44">
      <c r="A25" s="74">
        <v>21210</v>
      </c>
      <c r="B25" s="18" t="s">
        <v>269</v>
      </c>
      <c r="C25" s="19" t="s">
        <v>195</v>
      </c>
      <c r="D25" s="19" t="str">
        <f t="shared" si="2"/>
        <v>rokwzgl=0 i lp=21210</v>
      </c>
      <c r="E25" s="19" t="str">
        <f t="shared" si="2"/>
        <v>rokwzgl=0 i lp=21210</v>
      </c>
      <c r="F25" s="19" t="str">
        <f t="shared" si="2"/>
        <v>rokwzgl=1 i lp=21210</v>
      </c>
      <c r="G25" s="19" t="str">
        <f t="shared" si="2"/>
        <v>rokwzgl=2 i lp=21210</v>
      </c>
      <c r="H25" s="19" t="str">
        <f t="shared" si="2"/>
        <v>rokwzgl=3 i lp=21210</v>
      </c>
      <c r="I25" s="19" t="str">
        <f t="shared" si="2"/>
        <v>rokwzgl=4 i lp=21210</v>
      </c>
      <c r="J25" s="19" t="str">
        <f t="shared" si="2"/>
        <v>rokwzgl=5 i lp=21210</v>
      </c>
      <c r="K25" s="19" t="str">
        <f t="shared" si="2"/>
        <v>rokwzgl=6 i lp=21210</v>
      </c>
      <c r="L25" s="19" t="str">
        <f t="shared" si="2"/>
        <v>rokwzgl=7 i lp=21210</v>
      </c>
      <c r="M25" s="19" t="str">
        <f t="shared" si="2"/>
        <v>rokwzgl=8 i lp=21210</v>
      </c>
      <c r="N25" s="19" t="str">
        <f t="shared" si="3"/>
        <v>rokwzgl=9 i lp=21210</v>
      </c>
      <c r="O25" s="19" t="str">
        <f t="shared" si="3"/>
        <v>rokwzgl=10 i lp=21210</v>
      </c>
      <c r="P25" s="19" t="str">
        <f t="shared" si="3"/>
        <v>rokwzgl=11 i lp=21210</v>
      </c>
      <c r="Q25" s="19" t="str">
        <f t="shared" si="3"/>
        <v>rokwzgl=12 i lp=21210</v>
      </c>
      <c r="R25" s="19" t="str">
        <f t="shared" si="3"/>
        <v>rokwzgl=13 i lp=21210</v>
      </c>
      <c r="S25" s="19" t="str">
        <f t="shared" si="3"/>
        <v>rokwzgl=14 i lp=21210</v>
      </c>
      <c r="T25" s="19" t="str">
        <f t="shared" si="3"/>
        <v>rokwzgl=15 i lp=21210</v>
      </c>
      <c r="U25" s="19" t="str">
        <f t="shared" si="3"/>
        <v>rokwzgl=16 i lp=21210</v>
      </c>
      <c r="V25" s="19" t="str">
        <f t="shared" si="3"/>
        <v>rokwzgl=17 i lp=21210</v>
      </c>
      <c r="W25" s="19" t="str">
        <f t="shared" si="3"/>
        <v>rokwzgl=18 i lp=21210</v>
      </c>
      <c r="X25" s="19" t="str">
        <f t="shared" si="7"/>
        <v>rokwzgl=19 i lp=21210</v>
      </c>
      <c r="Y25" s="19" t="str">
        <f t="shared" si="7"/>
        <v>rokwzgl=20 i lp=21210</v>
      </c>
      <c r="Z25" s="19" t="str">
        <f t="shared" si="7"/>
        <v>rokwzgl=21 i lp=21210</v>
      </c>
      <c r="AA25" s="19" t="str">
        <f t="shared" si="7"/>
        <v>rokwzgl=22 i lp=21210</v>
      </c>
      <c r="AB25" s="19" t="str">
        <f t="shared" si="7"/>
        <v>rokwzgl=23 i lp=21210</v>
      </c>
      <c r="AC25" s="19" t="str">
        <f t="shared" si="7"/>
        <v>rokwzgl=24 i lp=21210</v>
      </c>
      <c r="AD25" s="19" t="str">
        <f t="shared" si="7"/>
        <v>rokwzgl=25 i lp=21210</v>
      </c>
      <c r="AE25" s="19" t="str">
        <f t="shared" si="7"/>
        <v>rokwzgl=26 i lp=21210</v>
      </c>
      <c r="AF25" s="19" t="str">
        <f t="shared" si="7"/>
        <v>rokwzgl=27 i lp=21210</v>
      </c>
      <c r="AG25" s="19" t="str">
        <f t="shared" si="7"/>
        <v>rokwzgl=28 i lp=21210</v>
      </c>
      <c r="AH25" s="19" t="str">
        <f t="shared" si="7"/>
        <v>rokwzgl=29 i lp=21210</v>
      </c>
      <c r="AI25" s="19" t="str">
        <f t="shared" si="7"/>
        <v>rokwzgl=30 i lp=21210</v>
      </c>
      <c r="AJ25" s="19" t="str">
        <f t="shared" si="6"/>
        <v>rokwzgl=31 i lp=21210</v>
      </c>
      <c r="AK25" s="19" t="str">
        <f t="shared" si="6"/>
        <v>rokwzgl=32 i lp=21210</v>
      </c>
      <c r="AL25" s="19" t="str">
        <f t="shared" si="6"/>
        <v>rokwzgl=33 i lp=21210</v>
      </c>
      <c r="AM25" s="19" t="str">
        <f t="shared" si="6"/>
        <v>rokwzgl=34 i lp=21210</v>
      </c>
      <c r="AN25" s="19" t="str">
        <f t="shared" si="5"/>
        <v>rokwzgl=35 i lp=21210</v>
      </c>
      <c r="AO25" s="19" t="str">
        <f t="shared" si="5"/>
        <v>rokwzgl=36 i lp=21210</v>
      </c>
      <c r="AP25" s="19" t="str">
        <f t="shared" si="5"/>
        <v>rokwzgl=37 i lp=21210</v>
      </c>
      <c r="AQ25" s="19" t="str">
        <f t="shared" si="5"/>
        <v>rokwzgl=38 i lp=21210</v>
      </c>
      <c r="AR25" s="19" t="str">
        <f t="shared" si="5"/>
        <v>rokwzgl=39 i lp=21210</v>
      </c>
    </row>
    <row r="26" spans="1:44">
      <c r="A26" s="74">
        <v>21300</v>
      </c>
      <c r="B26" s="18" t="s">
        <v>41</v>
      </c>
      <c r="C26" s="19" t="s">
        <v>196</v>
      </c>
      <c r="D26" s="19" t="str">
        <f t="shared" ref="D26:M35" si="8">+"rokwzgl="&amp;D$9&amp;" i lp="&amp;$A26</f>
        <v>rokwzgl=0 i lp=21300</v>
      </c>
      <c r="E26" s="19" t="str">
        <f t="shared" si="8"/>
        <v>rokwzgl=0 i lp=21300</v>
      </c>
      <c r="F26" s="19" t="str">
        <f t="shared" si="8"/>
        <v>rokwzgl=1 i lp=21300</v>
      </c>
      <c r="G26" s="19" t="str">
        <f t="shared" si="8"/>
        <v>rokwzgl=2 i lp=21300</v>
      </c>
      <c r="H26" s="19" t="str">
        <f t="shared" si="8"/>
        <v>rokwzgl=3 i lp=21300</v>
      </c>
      <c r="I26" s="19" t="str">
        <f t="shared" si="8"/>
        <v>rokwzgl=4 i lp=21300</v>
      </c>
      <c r="J26" s="19" t="str">
        <f t="shared" si="8"/>
        <v>rokwzgl=5 i lp=21300</v>
      </c>
      <c r="K26" s="19" t="str">
        <f t="shared" si="8"/>
        <v>rokwzgl=6 i lp=21300</v>
      </c>
      <c r="L26" s="19" t="str">
        <f t="shared" si="8"/>
        <v>rokwzgl=7 i lp=21300</v>
      </c>
      <c r="M26" s="19" t="str">
        <f t="shared" si="8"/>
        <v>rokwzgl=8 i lp=21300</v>
      </c>
      <c r="N26" s="19" t="str">
        <f t="shared" ref="N26:W35" si="9">+"rokwzgl="&amp;N$9&amp;" i lp="&amp;$A26</f>
        <v>rokwzgl=9 i lp=21300</v>
      </c>
      <c r="O26" s="19" t="str">
        <f t="shared" si="9"/>
        <v>rokwzgl=10 i lp=21300</v>
      </c>
      <c r="P26" s="19" t="str">
        <f t="shared" si="9"/>
        <v>rokwzgl=11 i lp=21300</v>
      </c>
      <c r="Q26" s="19" t="str">
        <f t="shared" si="9"/>
        <v>rokwzgl=12 i lp=21300</v>
      </c>
      <c r="R26" s="19" t="str">
        <f t="shared" si="9"/>
        <v>rokwzgl=13 i lp=21300</v>
      </c>
      <c r="S26" s="19" t="str">
        <f t="shared" si="9"/>
        <v>rokwzgl=14 i lp=21300</v>
      </c>
      <c r="T26" s="19" t="str">
        <f t="shared" si="9"/>
        <v>rokwzgl=15 i lp=21300</v>
      </c>
      <c r="U26" s="19" t="str">
        <f t="shared" si="9"/>
        <v>rokwzgl=16 i lp=21300</v>
      </c>
      <c r="V26" s="19" t="str">
        <f t="shared" si="9"/>
        <v>rokwzgl=17 i lp=21300</v>
      </c>
      <c r="W26" s="19" t="str">
        <f t="shared" si="9"/>
        <v>rokwzgl=18 i lp=21300</v>
      </c>
      <c r="X26" s="19" t="str">
        <f t="shared" si="7"/>
        <v>rokwzgl=19 i lp=21300</v>
      </c>
      <c r="Y26" s="19" t="str">
        <f t="shared" si="7"/>
        <v>rokwzgl=20 i lp=21300</v>
      </c>
      <c r="Z26" s="19" t="str">
        <f t="shared" si="7"/>
        <v>rokwzgl=21 i lp=21300</v>
      </c>
      <c r="AA26" s="19" t="str">
        <f t="shared" si="7"/>
        <v>rokwzgl=22 i lp=21300</v>
      </c>
      <c r="AB26" s="19" t="str">
        <f t="shared" si="7"/>
        <v>rokwzgl=23 i lp=21300</v>
      </c>
      <c r="AC26" s="19" t="str">
        <f t="shared" si="7"/>
        <v>rokwzgl=24 i lp=21300</v>
      </c>
      <c r="AD26" s="19" t="str">
        <f t="shared" si="7"/>
        <v>rokwzgl=25 i lp=21300</v>
      </c>
      <c r="AE26" s="19" t="str">
        <f t="shared" si="7"/>
        <v>rokwzgl=26 i lp=21300</v>
      </c>
      <c r="AF26" s="19" t="str">
        <f t="shared" si="7"/>
        <v>rokwzgl=27 i lp=21300</v>
      </c>
      <c r="AG26" s="19" t="str">
        <f t="shared" si="7"/>
        <v>rokwzgl=28 i lp=21300</v>
      </c>
      <c r="AH26" s="19" t="str">
        <f t="shared" si="7"/>
        <v>rokwzgl=29 i lp=21300</v>
      </c>
      <c r="AI26" s="19" t="str">
        <f t="shared" si="7"/>
        <v>rokwzgl=30 i lp=21300</v>
      </c>
      <c r="AJ26" s="19" t="str">
        <f t="shared" si="6"/>
        <v>rokwzgl=31 i lp=21300</v>
      </c>
      <c r="AK26" s="19" t="str">
        <f t="shared" si="6"/>
        <v>rokwzgl=32 i lp=21300</v>
      </c>
      <c r="AL26" s="19" t="str">
        <f t="shared" si="6"/>
        <v>rokwzgl=33 i lp=21300</v>
      </c>
      <c r="AM26" s="19" t="str">
        <f t="shared" si="6"/>
        <v>rokwzgl=34 i lp=21300</v>
      </c>
      <c r="AN26" s="19" t="str">
        <f t="shared" ref="AN26:AR76" si="10">+"rokwzgl="&amp;AN$9&amp;" i lp="&amp;$A26</f>
        <v>rokwzgl=35 i lp=21300</v>
      </c>
      <c r="AO26" s="19" t="str">
        <f t="shared" si="10"/>
        <v>rokwzgl=36 i lp=21300</v>
      </c>
      <c r="AP26" s="19" t="str">
        <f t="shared" si="10"/>
        <v>rokwzgl=37 i lp=21300</v>
      </c>
      <c r="AQ26" s="19" t="str">
        <f t="shared" si="10"/>
        <v>rokwzgl=38 i lp=21300</v>
      </c>
      <c r="AR26" s="19" t="str">
        <f t="shared" si="10"/>
        <v>rokwzgl=39 i lp=21300</v>
      </c>
    </row>
    <row r="27" spans="1:44">
      <c r="A27" s="74">
        <v>21310</v>
      </c>
      <c r="B27" s="18" t="s">
        <v>42</v>
      </c>
      <c r="C27" s="19" t="s">
        <v>197</v>
      </c>
      <c r="D27" s="19" t="str">
        <f t="shared" si="8"/>
        <v>rokwzgl=0 i lp=21310</v>
      </c>
      <c r="E27" s="19" t="str">
        <f t="shared" si="8"/>
        <v>rokwzgl=0 i lp=21310</v>
      </c>
      <c r="F27" s="19" t="str">
        <f t="shared" si="8"/>
        <v>rokwzgl=1 i lp=21310</v>
      </c>
      <c r="G27" s="19" t="str">
        <f t="shared" si="8"/>
        <v>rokwzgl=2 i lp=21310</v>
      </c>
      <c r="H27" s="19" t="str">
        <f t="shared" si="8"/>
        <v>rokwzgl=3 i lp=21310</v>
      </c>
      <c r="I27" s="19" t="str">
        <f t="shared" si="8"/>
        <v>rokwzgl=4 i lp=21310</v>
      </c>
      <c r="J27" s="19" t="str">
        <f t="shared" si="8"/>
        <v>rokwzgl=5 i lp=21310</v>
      </c>
      <c r="K27" s="19" t="str">
        <f t="shared" si="8"/>
        <v>rokwzgl=6 i lp=21310</v>
      </c>
      <c r="L27" s="19" t="str">
        <f t="shared" si="8"/>
        <v>rokwzgl=7 i lp=21310</v>
      </c>
      <c r="M27" s="19" t="str">
        <f t="shared" si="8"/>
        <v>rokwzgl=8 i lp=21310</v>
      </c>
      <c r="N27" s="19" t="str">
        <f t="shared" si="9"/>
        <v>rokwzgl=9 i lp=21310</v>
      </c>
      <c r="O27" s="19" t="str">
        <f t="shared" si="9"/>
        <v>rokwzgl=10 i lp=21310</v>
      </c>
      <c r="P27" s="19" t="str">
        <f t="shared" si="9"/>
        <v>rokwzgl=11 i lp=21310</v>
      </c>
      <c r="Q27" s="19" t="str">
        <f t="shared" si="9"/>
        <v>rokwzgl=12 i lp=21310</v>
      </c>
      <c r="R27" s="19" t="str">
        <f t="shared" si="9"/>
        <v>rokwzgl=13 i lp=21310</v>
      </c>
      <c r="S27" s="19" t="str">
        <f t="shared" si="9"/>
        <v>rokwzgl=14 i lp=21310</v>
      </c>
      <c r="T27" s="19" t="str">
        <f t="shared" si="9"/>
        <v>rokwzgl=15 i lp=21310</v>
      </c>
      <c r="U27" s="19" t="str">
        <f t="shared" si="9"/>
        <v>rokwzgl=16 i lp=21310</v>
      </c>
      <c r="V27" s="19" t="str">
        <f t="shared" si="9"/>
        <v>rokwzgl=17 i lp=21310</v>
      </c>
      <c r="W27" s="19" t="str">
        <f t="shared" si="9"/>
        <v>rokwzgl=18 i lp=21310</v>
      </c>
      <c r="X27" s="19" t="str">
        <f t="shared" si="7"/>
        <v>rokwzgl=19 i lp=21310</v>
      </c>
      <c r="Y27" s="19" t="str">
        <f t="shared" si="7"/>
        <v>rokwzgl=20 i lp=21310</v>
      </c>
      <c r="Z27" s="19" t="str">
        <f t="shared" si="7"/>
        <v>rokwzgl=21 i lp=21310</v>
      </c>
      <c r="AA27" s="19" t="str">
        <f t="shared" si="7"/>
        <v>rokwzgl=22 i lp=21310</v>
      </c>
      <c r="AB27" s="19" t="str">
        <f t="shared" si="7"/>
        <v>rokwzgl=23 i lp=21310</v>
      </c>
      <c r="AC27" s="19" t="str">
        <f t="shared" si="7"/>
        <v>rokwzgl=24 i lp=21310</v>
      </c>
      <c r="AD27" s="19" t="str">
        <f t="shared" si="7"/>
        <v>rokwzgl=25 i lp=21310</v>
      </c>
      <c r="AE27" s="19" t="str">
        <f t="shared" si="7"/>
        <v>rokwzgl=26 i lp=21310</v>
      </c>
      <c r="AF27" s="19" t="str">
        <f t="shared" si="7"/>
        <v>rokwzgl=27 i lp=21310</v>
      </c>
      <c r="AG27" s="19" t="str">
        <f t="shared" si="7"/>
        <v>rokwzgl=28 i lp=21310</v>
      </c>
      <c r="AH27" s="19" t="str">
        <f t="shared" si="7"/>
        <v>rokwzgl=29 i lp=21310</v>
      </c>
      <c r="AI27" s="19" t="str">
        <f t="shared" si="7"/>
        <v>rokwzgl=30 i lp=21310</v>
      </c>
      <c r="AJ27" s="19" t="str">
        <f t="shared" si="6"/>
        <v>rokwzgl=31 i lp=21310</v>
      </c>
      <c r="AK27" s="19" t="str">
        <f t="shared" si="6"/>
        <v>rokwzgl=32 i lp=21310</v>
      </c>
      <c r="AL27" s="19" t="str">
        <f t="shared" si="6"/>
        <v>rokwzgl=33 i lp=21310</v>
      </c>
      <c r="AM27" s="19" t="str">
        <f t="shared" si="6"/>
        <v>rokwzgl=34 i lp=21310</v>
      </c>
      <c r="AN27" s="19" t="str">
        <f t="shared" si="10"/>
        <v>rokwzgl=35 i lp=21310</v>
      </c>
      <c r="AO27" s="19" t="str">
        <f t="shared" si="10"/>
        <v>rokwzgl=36 i lp=21310</v>
      </c>
      <c r="AP27" s="19" t="str">
        <f t="shared" si="10"/>
        <v>rokwzgl=37 i lp=21310</v>
      </c>
      <c r="AQ27" s="19" t="str">
        <f t="shared" si="10"/>
        <v>rokwzgl=38 i lp=21310</v>
      </c>
      <c r="AR27" s="19" t="str">
        <f t="shared" si="10"/>
        <v>rokwzgl=39 i lp=21310</v>
      </c>
    </row>
    <row r="28" spans="1:44">
      <c r="A28" s="74">
        <v>21320</v>
      </c>
      <c r="B28" s="18" t="s">
        <v>270</v>
      </c>
      <c r="C28" s="19" t="s">
        <v>198</v>
      </c>
      <c r="D28" s="19" t="str">
        <f t="shared" si="8"/>
        <v>rokwzgl=0 i lp=21320</v>
      </c>
      <c r="E28" s="19" t="str">
        <f t="shared" si="8"/>
        <v>rokwzgl=0 i lp=21320</v>
      </c>
      <c r="F28" s="19" t="str">
        <f t="shared" si="8"/>
        <v>rokwzgl=1 i lp=21320</v>
      </c>
      <c r="G28" s="19" t="str">
        <f t="shared" si="8"/>
        <v>rokwzgl=2 i lp=21320</v>
      </c>
      <c r="H28" s="19" t="str">
        <f t="shared" si="8"/>
        <v>rokwzgl=3 i lp=21320</v>
      </c>
      <c r="I28" s="19" t="str">
        <f t="shared" si="8"/>
        <v>rokwzgl=4 i lp=21320</v>
      </c>
      <c r="J28" s="19" t="str">
        <f t="shared" si="8"/>
        <v>rokwzgl=5 i lp=21320</v>
      </c>
      <c r="K28" s="19" t="str">
        <f t="shared" si="8"/>
        <v>rokwzgl=6 i lp=21320</v>
      </c>
      <c r="L28" s="19" t="str">
        <f t="shared" si="8"/>
        <v>rokwzgl=7 i lp=21320</v>
      </c>
      <c r="M28" s="19" t="str">
        <f t="shared" si="8"/>
        <v>rokwzgl=8 i lp=21320</v>
      </c>
      <c r="N28" s="19" t="str">
        <f t="shared" si="9"/>
        <v>rokwzgl=9 i lp=21320</v>
      </c>
      <c r="O28" s="19" t="str">
        <f t="shared" si="9"/>
        <v>rokwzgl=10 i lp=21320</v>
      </c>
      <c r="P28" s="19" t="str">
        <f t="shared" si="9"/>
        <v>rokwzgl=11 i lp=21320</v>
      </c>
      <c r="Q28" s="19" t="str">
        <f t="shared" si="9"/>
        <v>rokwzgl=12 i lp=21320</v>
      </c>
      <c r="R28" s="19" t="str">
        <f t="shared" si="9"/>
        <v>rokwzgl=13 i lp=21320</v>
      </c>
      <c r="S28" s="19" t="str">
        <f t="shared" si="9"/>
        <v>rokwzgl=14 i lp=21320</v>
      </c>
      <c r="T28" s="19" t="str">
        <f t="shared" si="9"/>
        <v>rokwzgl=15 i lp=21320</v>
      </c>
      <c r="U28" s="19" t="str">
        <f t="shared" si="9"/>
        <v>rokwzgl=16 i lp=21320</v>
      </c>
      <c r="V28" s="19" t="str">
        <f t="shared" si="9"/>
        <v>rokwzgl=17 i lp=21320</v>
      </c>
      <c r="W28" s="19" t="str">
        <f t="shared" si="9"/>
        <v>rokwzgl=18 i lp=21320</v>
      </c>
      <c r="X28" s="19" t="str">
        <f t="shared" si="7"/>
        <v>rokwzgl=19 i lp=21320</v>
      </c>
      <c r="Y28" s="19" t="str">
        <f t="shared" si="7"/>
        <v>rokwzgl=20 i lp=21320</v>
      </c>
      <c r="Z28" s="19" t="str">
        <f t="shared" si="7"/>
        <v>rokwzgl=21 i lp=21320</v>
      </c>
      <c r="AA28" s="19" t="str">
        <f t="shared" si="7"/>
        <v>rokwzgl=22 i lp=21320</v>
      </c>
      <c r="AB28" s="19" t="str">
        <f t="shared" si="7"/>
        <v>rokwzgl=23 i lp=21320</v>
      </c>
      <c r="AC28" s="19" t="str">
        <f t="shared" si="7"/>
        <v>rokwzgl=24 i lp=21320</v>
      </c>
      <c r="AD28" s="19" t="str">
        <f t="shared" si="7"/>
        <v>rokwzgl=25 i lp=21320</v>
      </c>
      <c r="AE28" s="19" t="str">
        <f t="shared" si="7"/>
        <v>rokwzgl=26 i lp=21320</v>
      </c>
      <c r="AF28" s="19" t="str">
        <f t="shared" si="7"/>
        <v>rokwzgl=27 i lp=21320</v>
      </c>
      <c r="AG28" s="19" t="str">
        <f t="shared" si="7"/>
        <v>rokwzgl=28 i lp=21320</v>
      </c>
      <c r="AH28" s="19" t="str">
        <f t="shared" si="7"/>
        <v>rokwzgl=29 i lp=21320</v>
      </c>
      <c r="AI28" s="19" t="str">
        <f t="shared" si="7"/>
        <v>rokwzgl=30 i lp=21320</v>
      </c>
      <c r="AJ28" s="19" t="str">
        <f t="shared" si="6"/>
        <v>rokwzgl=31 i lp=21320</v>
      </c>
      <c r="AK28" s="19" t="str">
        <f t="shared" si="6"/>
        <v>rokwzgl=32 i lp=21320</v>
      </c>
      <c r="AL28" s="19" t="str">
        <f t="shared" si="6"/>
        <v>rokwzgl=33 i lp=21320</v>
      </c>
      <c r="AM28" s="19" t="str">
        <f t="shared" si="6"/>
        <v>rokwzgl=34 i lp=21320</v>
      </c>
      <c r="AN28" s="19" t="str">
        <f t="shared" si="10"/>
        <v>rokwzgl=35 i lp=21320</v>
      </c>
      <c r="AO28" s="19" t="str">
        <f t="shared" si="10"/>
        <v>rokwzgl=36 i lp=21320</v>
      </c>
      <c r="AP28" s="19" t="str">
        <f t="shared" si="10"/>
        <v>rokwzgl=37 i lp=21320</v>
      </c>
      <c r="AQ28" s="19" t="str">
        <f t="shared" si="10"/>
        <v>rokwzgl=38 i lp=21320</v>
      </c>
      <c r="AR28" s="19" t="str">
        <f t="shared" si="10"/>
        <v>rokwzgl=39 i lp=21320</v>
      </c>
    </row>
    <row r="29" spans="1:44">
      <c r="A29" s="74">
        <v>21330</v>
      </c>
      <c r="B29" s="18" t="s">
        <v>582</v>
      </c>
      <c r="D29" s="19" t="str">
        <f t="shared" si="8"/>
        <v>rokwzgl=0 i lp=21330</v>
      </c>
      <c r="E29" s="19" t="str">
        <f t="shared" si="8"/>
        <v>rokwzgl=0 i lp=21330</v>
      </c>
      <c r="F29" s="19" t="str">
        <f t="shared" si="8"/>
        <v>rokwzgl=1 i lp=21330</v>
      </c>
      <c r="G29" s="19" t="str">
        <f t="shared" si="8"/>
        <v>rokwzgl=2 i lp=21330</v>
      </c>
      <c r="H29" s="19" t="str">
        <f t="shared" si="8"/>
        <v>rokwzgl=3 i lp=21330</v>
      </c>
      <c r="I29" s="19" t="str">
        <f t="shared" si="8"/>
        <v>rokwzgl=4 i lp=21330</v>
      </c>
      <c r="J29" s="19" t="str">
        <f t="shared" si="8"/>
        <v>rokwzgl=5 i lp=21330</v>
      </c>
      <c r="K29" s="19" t="str">
        <f t="shared" si="8"/>
        <v>rokwzgl=6 i lp=21330</v>
      </c>
      <c r="L29" s="19" t="str">
        <f t="shared" si="8"/>
        <v>rokwzgl=7 i lp=21330</v>
      </c>
      <c r="M29" s="19" t="str">
        <f t="shared" si="8"/>
        <v>rokwzgl=8 i lp=21330</v>
      </c>
      <c r="N29" s="19" t="str">
        <f t="shared" si="9"/>
        <v>rokwzgl=9 i lp=21330</v>
      </c>
      <c r="O29" s="19" t="str">
        <f t="shared" si="9"/>
        <v>rokwzgl=10 i lp=21330</v>
      </c>
      <c r="P29" s="19" t="str">
        <f t="shared" si="9"/>
        <v>rokwzgl=11 i lp=21330</v>
      </c>
      <c r="Q29" s="19" t="str">
        <f t="shared" si="9"/>
        <v>rokwzgl=12 i lp=21330</v>
      </c>
      <c r="R29" s="19" t="str">
        <f t="shared" si="9"/>
        <v>rokwzgl=13 i lp=21330</v>
      </c>
      <c r="S29" s="19" t="str">
        <f t="shared" si="9"/>
        <v>rokwzgl=14 i lp=21330</v>
      </c>
      <c r="T29" s="19" t="str">
        <f t="shared" si="9"/>
        <v>rokwzgl=15 i lp=21330</v>
      </c>
      <c r="U29" s="19" t="str">
        <f t="shared" si="9"/>
        <v>rokwzgl=16 i lp=21330</v>
      </c>
      <c r="V29" s="19" t="str">
        <f t="shared" si="9"/>
        <v>rokwzgl=17 i lp=21330</v>
      </c>
      <c r="W29" s="19" t="str">
        <f t="shared" si="9"/>
        <v>rokwzgl=18 i lp=21330</v>
      </c>
      <c r="X29" s="19" t="str">
        <f t="shared" si="7"/>
        <v>rokwzgl=19 i lp=21330</v>
      </c>
      <c r="Y29" s="19" t="str">
        <f t="shared" si="7"/>
        <v>rokwzgl=20 i lp=21330</v>
      </c>
      <c r="Z29" s="19" t="str">
        <f t="shared" si="7"/>
        <v>rokwzgl=21 i lp=21330</v>
      </c>
      <c r="AA29" s="19" t="str">
        <f t="shared" si="7"/>
        <v>rokwzgl=22 i lp=21330</v>
      </c>
      <c r="AB29" s="19" t="str">
        <f t="shared" si="7"/>
        <v>rokwzgl=23 i lp=21330</v>
      </c>
      <c r="AC29" s="19" t="str">
        <f t="shared" si="7"/>
        <v>rokwzgl=24 i lp=21330</v>
      </c>
      <c r="AD29" s="19" t="str">
        <f t="shared" si="7"/>
        <v>rokwzgl=25 i lp=21330</v>
      </c>
      <c r="AE29" s="19" t="str">
        <f t="shared" si="7"/>
        <v>rokwzgl=26 i lp=21330</v>
      </c>
      <c r="AF29" s="19" t="str">
        <f t="shared" si="7"/>
        <v>rokwzgl=27 i lp=21330</v>
      </c>
      <c r="AG29" s="19" t="str">
        <f t="shared" si="7"/>
        <v>rokwzgl=28 i lp=21330</v>
      </c>
      <c r="AH29" s="19" t="str">
        <f t="shared" si="7"/>
        <v>rokwzgl=29 i lp=21330</v>
      </c>
      <c r="AI29" s="19" t="str">
        <f t="shared" si="7"/>
        <v>rokwzgl=30 i lp=21330</v>
      </c>
      <c r="AJ29" s="19" t="str">
        <f t="shared" si="6"/>
        <v>rokwzgl=31 i lp=21330</v>
      </c>
      <c r="AK29" s="19" t="str">
        <f t="shared" si="6"/>
        <v>rokwzgl=32 i lp=21330</v>
      </c>
      <c r="AL29" s="19" t="str">
        <f t="shared" si="6"/>
        <v>rokwzgl=33 i lp=21330</v>
      </c>
      <c r="AM29" s="19" t="str">
        <f t="shared" si="6"/>
        <v>rokwzgl=34 i lp=21330</v>
      </c>
      <c r="AN29" s="19" t="str">
        <f t="shared" si="10"/>
        <v>rokwzgl=35 i lp=21330</v>
      </c>
      <c r="AO29" s="19" t="str">
        <f t="shared" si="10"/>
        <v>rokwzgl=36 i lp=21330</v>
      </c>
      <c r="AP29" s="19" t="str">
        <f t="shared" si="10"/>
        <v>rokwzgl=37 i lp=21330</v>
      </c>
      <c r="AQ29" s="19" t="str">
        <f t="shared" si="10"/>
        <v>rokwzgl=38 i lp=21330</v>
      </c>
      <c r="AR29" s="19" t="str">
        <f t="shared" si="10"/>
        <v>rokwzgl=39 i lp=21330</v>
      </c>
    </row>
    <row r="30" spans="1:44">
      <c r="A30" s="74">
        <v>22000</v>
      </c>
      <c r="B30" s="18" t="s">
        <v>54</v>
      </c>
      <c r="C30" s="19" t="s">
        <v>199</v>
      </c>
      <c r="D30" s="19" t="str">
        <f t="shared" si="8"/>
        <v>rokwzgl=0 i lp=22000</v>
      </c>
      <c r="E30" s="19" t="str">
        <f t="shared" si="8"/>
        <v>rokwzgl=0 i lp=22000</v>
      </c>
      <c r="F30" s="19" t="str">
        <f t="shared" si="8"/>
        <v>rokwzgl=1 i lp=22000</v>
      </c>
      <c r="G30" s="19" t="str">
        <f t="shared" si="8"/>
        <v>rokwzgl=2 i lp=22000</v>
      </c>
      <c r="H30" s="19" t="str">
        <f t="shared" si="8"/>
        <v>rokwzgl=3 i lp=22000</v>
      </c>
      <c r="I30" s="19" t="str">
        <f t="shared" si="8"/>
        <v>rokwzgl=4 i lp=22000</v>
      </c>
      <c r="J30" s="19" t="str">
        <f t="shared" si="8"/>
        <v>rokwzgl=5 i lp=22000</v>
      </c>
      <c r="K30" s="19" t="str">
        <f t="shared" si="8"/>
        <v>rokwzgl=6 i lp=22000</v>
      </c>
      <c r="L30" s="19" t="str">
        <f t="shared" si="8"/>
        <v>rokwzgl=7 i lp=22000</v>
      </c>
      <c r="M30" s="19" t="str">
        <f t="shared" si="8"/>
        <v>rokwzgl=8 i lp=22000</v>
      </c>
      <c r="N30" s="19" t="str">
        <f t="shared" si="9"/>
        <v>rokwzgl=9 i lp=22000</v>
      </c>
      <c r="O30" s="19" t="str">
        <f t="shared" si="9"/>
        <v>rokwzgl=10 i lp=22000</v>
      </c>
      <c r="P30" s="19" t="str">
        <f t="shared" si="9"/>
        <v>rokwzgl=11 i lp=22000</v>
      </c>
      <c r="Q30" s="19" t="str">
        <f t="shared" si="9"/>
        <v>rokwzgl=12 i lp=22000</v>
      </c>
      <c r="R30" s="19" t="str">
        <f t="shared" si="9"/>
        <v>rokwzgl=13 i lp=22000</v>
      </c>
      <c r="S30" s="19" t="str">
        <f t="shared" si="9"/>
        <v>rokwzgl=14 i lp=22000</v>
      </c>
      <c r="T30" s="19" t="str">
        <f t="shared" si="9"/>
        <v>rokwzgl=15 i lp=22000</v>
      </c>
      <c r="U30" s="19" t="str">
        <f t="shared" si="9"/>
        <v>rokwzgl=16 i lp=22000</v>
      </c>
      <c r="V30" s="19" t="str">
        <f t="shared" si="9"/>
        <v>rokwzgl=17 i lp=22000</v>
      </c>
      <c r="W30" s="19" t="str">
        <f t="shared" si="9"/>
        <v>rokwzgl=18 i lp=22000</v>
      </c>
      <c r="X30" s="19" t="str">
        <f t="shared" ref="X30:AI39" si="11">+"rokwzgl="&amp;X$9&amp;" i lp="&amp;$A30</f>
        <v>rokwzgl=19 i lp=22000</v>
      </c>
      <c r="Y30" s="19" t="str">
        <f t="shared" si="11"/>
        <v>rokwzgl=20 i lp=22000</v>
      </c>
      <c r="Z30" s="19" t="str">
        <f t="shared" si="11"/>
        <v>rokwzgl=21 i lp=22000</v>
      </c>
      <c r="AA30" s="19" t="str">
        <f t="shared" si="11"/>
        <v>rokwzgl=22 i lp=22000</v>
      </c>
      <c r="AB30" s="19" t="str">
        <f t="shared" si="11"/>
        <v>rokwzgl=23 i lp=22000</v>
      </c>
      <c r="AC30" s="19" t="str">
        <f t="shared" si="11"/>
        <v>rokwzgl=24 i lp=22000</v>
      </c>
      <c r="AD30" s="19" t="str">
        <f t="shared" si="11"/>
        <v>rokwzgl=25 i lp=22000</v>
      </c>
      <c r="AE30" s="19" t="str">
        <f t="shared" si="11"/>
        <v>rokwzgl=26 i lp=22000</v>
      </c>
      <c r="AF30" s="19" t="str">
        <f t="shared" si="11"/>
        <v>rokwzgl=27 i lp=22000</v>
      </c>
      <c r="AG30" s="19" t="str">
        <f t="shared" si="11"/>
        <v>rokwzgl=28 i lp=22000</v>
      </c>
      <c r="AH30" s="19" t="str">
        <f t="shared" si="11"/>
        <v>rokwzgl=29 i lp=22000</v>
      </c>
      <c r="AI30" s="19" t="str">
        <f t="shared" si="11"/>
        <v>rokwzgl=30 i lp=22000</v>
      </c>
      <c r="AJ30" s="19" t="str">
        <f t="shared" si="6"/>
        <v>rokwzgl=31 i lp=22000</v>
      </c>
      <c r="AK30" s="19" t="str">
        <f t="shared" si="6"/>
        <v>rokwzgl=32 i lp=22000</v>
      </c>
      <c r="AL30" s="19" t="str">
        <f t="shared" si="6"/>
        <v>rokwzgl=33 i lp=22000</v>
      </c>
      <c r="AM30" s="19" t="str">
        <f t="shared" si="6"/>
        <v>rokwzgl=34 i lp=22000</v>
      </c>
      <c r="AN30" s="19" t="str">
        <f t="shared" si="10"/>
        <v>rokwzgl=35 i lp=22000</v>
      </c>
      <c r="AO30" s="19" t="str">
        <f t="shared" si="10"/>
        <v>rokwzgl=36 i lp=22000</v>
      </c>
      <c r="AP30" s="19" t="str">
        <f t="shared" si="10"/>
        <v>rokwzgl=37 i lp=22000</v>
      </c>
      <c r="AQ30" s="19" t="str">
        <f t="shared" si="10"/>
        <v>rokwzgl=38 i lp=22000</v>
      </c>
      <c r="AR30" s="19" t="str">
        <f t="shared" si="10"/>
        <v>rokwzgl=39 i lp=22000</v>
      </c>
    </row>
    <row r="31" spans="1:44">
      <c r="A31" s="74">
        <v>22100</v>
      </c>
      <c r="B31" s="18" t="s">
        <v>271</v>
      </c>
      <c r="C31" s="19" t="s">
        <v>200</v>
      </c>
      <c r="D31" s="19" t="str">
        <f t="shared" si="8"/>
        <v>rokwzgl=0 i lp=22100</v>
      </c>
      <c r="E31" s="19" t="str">
        <f t="shared" si="8"/>
        <v>rokwzgl=0 i lp=22100</v>
      </c>
      <c r="F31" s="19" t="str">
        <f t="shared" si="8"/>
        <v>rokwzgl=1 i lp=22100</v>
      </c>
      <c r="G31" s="19" t="str">
        <f t="shared" si="8"/>
        <v>rokwzgl=2 i lp=22100</v>
      </c>
      <c r="H31" s="19" t="str">
        <f t="shared" si="8"/>
        <v>rokwzgl=3 i lp=22100</v>
      </c>
      <c r="I31" s="19" t="str">
        <f t="shared" si="8"/>
        <v>rokwzgl=4 i lp=22100</v>
      </c>
      <c r="J31" s="19" t="str">
        <f t="shared" si="8"/>
        <v>rokwzgl=5 i lp=22100</v>
      </c>
      <c r="K31" s="19" t="str">
        <f t="shared" si="8"/>
        <v>rokwzgl=6 i lp=22100</v>
      </c>
      <c r="L31" s="19" t="str">
        <f t="shared" si="8"/>
        <v>rokwzgl=7 i lp=22100</v>
      </c>
      <c r="M31" s="19" t="str">
        <f t="shared" si="8"/>
        <v>rokwzgl=8 i lp=22100</v>
      </c>
      <c r="N31" s="19" t="str">
        <f t="shared" si="9"/>
        <v>rokwzgl=9 i lp=22100</v>
      </c>
      <c r="O31" s="19" t="str">
        <f t="shared" si="9"/>
        <v>rokwzgl=10 i lp=22100</v>
      </c>
      <c r="P31" s="19" t="str">
        <f t="shared" si="9"/>
        <v>rokwzgl=11 i lp=22100</v>
      </c>
      <c r="Q31" s="19" t="str">
        <f t="shared" si="9"/>
        <v>rokwzgl=12 i lp=22100</v>
      </c>
      <c r="R31" s="19" t="str">
        <f t="shared" si="9"/>
        <v>rokwzgl=13 i lp=22100</v>
      </c>
      <c r="S31" s="19" t="str">
        <f t="shared" si="9"/>
        <v>rokwzgl=14 i lp=22100</v>
      </c>
      <c r="T31" s="19" t="str">
        <f t="shared" si="9"/>
        <v>rokwzgl=15 i lp=22100</v>
      </c>
      <c r="U31" s="19" t="str">
        <f t="shared" si="9"/>
        <v>rokwzgl=16 i lp=22100</v>
      </c>
      <c r="V31" s="19" t="str">
        <f t="shared" si="9"/>
        <v>rokwzgl=17 i lp=22100</v>
      </c>
      <c r="W31" s="19" t="str">
        <f t="shared" si="9"/>
        <v>rokwzgl=18 i lp=22100</v>
      </c>
      <c r="X31" s="19" t="str">
        <f t="shared" si="11"/>
        <v>rokwzgl=19 i lp=22100</v>
      </c>
      <c r="Y31" s="19" t="str">
        <f t="shared" si="11"/>
        <v>rokwzgl=20 i lp=22100</v>
      </c>
      <c r="Z31" s="19" t="str">
        <f t="shared" si="11"/>
        <v>rokwzgl=21 i lp=22100</v>
      </c>
      <c r="AA31" s="19" t="str">
        <f t="shared" si="11"/>
        <v>rokwzgl=22 i lp=22100</v>
      </c>
      <c r="AB31" s="19" t="str">
        <f t="shared" si="11"/>
        <v>rokwzgl=23 i lp=22100</v>
      </c>
      <c r="AC31" s="19" t="str">
        <f t="shared" si="11"/>
        <v>rokwzgl=24 i lp=22100</v>
      </c>
      <c r="AD31" s="19" t="str">
        <f t="shared" si="11"/>
        <v>rokwzgl=25 i lp=22100</v>
      </c>
      <c r="AE31" s="19" t="str">
        <f t="shared" si="11"/>
        <v>rokwzgl=26 i lp=22100</v>
      </c>
      <c r="AF31" s="19" t="str">
        <f t="shared" si="11"/>
        <v>rokwzgl=27 i lp=22100</v>
      </c>
      <c r="AG31" s="19" t="str">
        <f t="shared" si="11"/>
        <v>rokwzgl=28 i lp=22100</v>
      </c>
      <c r="AH31" s="19" t="str">
        <f t="shared" si="11"/>
        <v>rokwzgl=29 i lp=22100</v>
      </c>
      <c r="AI31" s="19" t="str">
        <f t="shared" si="11"/>
        <v>rokwzgl=30 i lp=22100</v>
      </c>
      <c r="AJ31" s="19" t="str">
        <f t="shared" si="6"/>
        <v>rokwzgl=31 i lp=22100</v>
      </c>
      <c r="AK31" s="19" t="str">
        <f t="shared" si="6"/>
        <v>rokwzgl=32 i lp=22100</v>
      </c>
      <c r="AL31" s="19" t="str">
        <f t="shared" si="6"/>
        <v>rokwzgl=33 i lp=22100</v>
      </c>
      <c r="AM31" s="19" t="str">
        <f t="shared" si="6"/>
        <v>rokwzgl=34 i lp=22100</v>
      </c>
      <c r="AN31" s="19" t="str">
        <f t="shared" si="10"/>
        <v>rokwzgl=35 i lp=22100</v>
      </c>
      <c r="AO31" s="19" t="str">
        <f t="shared" si="10"/>
        <v>rokwzgl=36 i lp=22100</v>
      </c>
      <c r="AP31" s="19" t="str">
        <f t="shared" si="10"/>
        <v>rokwzgl=37 i lp=22100</v>
      </c>
      <c r="AQ31" s="19" t="str">
        <f t="shared" si="10"/>
        <v>rokwzgl=38 i lp=22100</v>
      </c>
      <c r="AR31" s="19" t="str">
        <f t="shared" si="10"/>
        <v>rokwzgl=39 i lp=22100</v>
      </c>
    </row>
    <row r="32" spans="1:44">
      <c r="A32" s="74">
        <v>22110</v>
      </c>
      <c r="B32" s="18" t="s">
        <v>272</v>
      </c>
      <c r="C32" s="19" t="s">
        <v>201</v>
      </c>
      <c r="D32" s="19" t="str">
        <f t="shared" si="8"/>
        <v>rokwzgl=0 i lp=22110</v>
      </c>
      <c r="E32" s="19" t="str">
        <f t="shared" si="8"/>
        <v>rokwzgl=0 i lp=22110</v>
      </c>
      <c r="F32" s="19" t="str">
        <f t="shared" si="8"/>
        <v>rokwzgl=1 i lp=22110</v>
      </c>
      <c r="G32" s="19" t="str">
        <f t="shared" si="8"/>
        <v>rokwzgl=2 i lp=22110</v>
      </c>
      <c r="H32" s="19" t="str">
        <f t="shared" si="8"/>
        <v>rokwzgl=3 i lp=22110</v>
      </c>
      <c r="I32" s="19" t="str">
        <f t="shared" si="8"/>
        <v>rokwzgl=4 i lp=22110</v>
      </c>
      <c r="J32" s="19" t="str">
        <f t="shared" si="8"/>
        <v>rokwzgl=5 i lp=22110</v>
      </c>
      <c r="K32" s="19" t="str">
        <f t="shared" si="8"/>
        <v>rokwzgl=6 i lp=22110</v>
      </c>
      <c r="L32" s="19" t="str">
        <f t="shared" si="8"/>
        <v>rokwzgl=7 i lp=22110</v>
      </c>
      <c r="M32" s="19" t="str">
        <f t="shared" si="8"/>
        <v>rokwzgl=8 i lp=22110</v>
      </c>
      <c r="N32" s="19" t="str">
        <f t="shared" si="9"/>
        <v>rokwzgl=9 i lp=22110</v>
      </c>
      <c r="O32" s="19" t="str">
        <f t="shared" si="9"/>
        <v>rokwzgl=10 i lp=22110</v>
      </c>
      <c r="P32" s="19" t="str">
        <f t="shared" si="9"/>
        <v>rokwzgl=11 i lp=22110</v>
      </c>
      <c r="Q32" s="19" t="str">
        <f t="shared" si="9"/>
        <v>rokwzgl=12 i lp=22110</v>
      </c>
      <c r="R32" s="19" t="str">
        <f t="shared" si="9"/>
        <v>rokwzgl=13 i lp=22110</v>
      </c>
      <c r="S32" s="19" t="str">
        <f t="shared" si="9"/>
        <v>rokwzgl=14 i lp=22110</v>
      </c>
      <c r="T32" s="19" t="str">
        <f t="shared" si="9"/>
        <v>rokwzgl=15 i lp=22110</v>
      </c>
      <c r="U32" s="19" t="str">
        <f t="shared" si="9"/>
        <v>rokwzgl=16 i lp=22110</v>
      </c>
      <c r="V32" s="19" t="str">
        <f t="shared" si="9"/>
        <v>rokwzgl=17 i lp=22110</v>
      </c>
      <c r="W32" s="19" t="str">
        <f t="shared" si="9"/>
        <v>rokwzgl=18 i lp=22110</v>
      </c>
      <c r="X32" s="19" t="str">
        <f t="shared" si="11"/>
        <v>rokwzgl=19 i lp=22110</v>
      </c>
      <c r="Y32" s="19" t="str">
        <f t="shared" si="11"/>
        <v>rokwzgl=20 i lp=22110</v>
      </c>
      <c r="Z32" s="19" t="str">
        <f t="shared" si="11"/>
        <v>rokwzgl=21 i lp=22110</v>
      </c>
      <c r="AA32" s="19" t="str">
        <f t="shared" si="11"/>
        <v>rokwzgl=22 i lp=22110</v>
      </c>
      <c r="AB32" s="19" t="str">
        <f t="shared" si="11"/>
        <v>rokwzgl=23 i lp=22110</v>
      </c>
      <c r="AC32" s="19" t="str">
        <f t="shared" si="11"/>
        <v>rokwzgl=24 i lp=22110</v>
      </c>
      <c r="AD32" s="19" t="str">
        <f t="shared" si="11"/>
        <v>rokwzgl=25 i lp=22110</v>
      </c>
      <c r="AE32" s="19" t="str">
        <f t="shared" si="11"/>
        <v>rokwzgl=26 i lp=22110</v>
      </c>
      <c r="AF32" s="19" t="str">
        <f t="shared" si="11"/>
        <v>rokwzgl=27 i lp=22110</v>
      </c>
      <c r="AG32" s="19" t="str">
        <f t="shared" si="11"/>
        <v>rokwzgl=28 i lp=22110</v>
      </c>
      <c r="AH32" s="19" t="str">
        <f t="shared" si="11"/>
        <v>rokwzgl=29 i lp=22110</v>
      </c>
      <c r="AI32" s="19" t="str">
        <f t="shared" si="11"/>
        <v>rokwzgl=30 i lp=22110</v>
      </c>
      <c r="AJ32" s="19" t="str">
        <f t="shared" si="6"/>
        <v>rokwzgl=31 i lp=22110</v>
      </c>
      <c r="AK32" s="19" t="str">
        <f t="shared" si="6"/>
        <v>rokwzgl=32 i lp=22110</v>
      </c>
      <c r="AL32" s="19" t="str">
        <f t="shared" si="6"/>
        <v>rokwzgl=33 i lp=22110</v>
      </c>
      <c r="AM32" s="19" t="str">
        <f t="shared" si="6"/>
        <v>rokwzgl=34 i lp=22110</v>
      </c>
      <c r="AN32" s="19" t="str">
        <f t="shared" si="10"/>
        <v>rokwzgl=35 i lp=22110</v>
      </c>
      <c r="AO32" s="19" t="str">
        <f t="shared" si="10"/>
        <v>rokwzgl=36 i lp=22110</v>
      </c>
      <c r="AP32" s="19" t="str">
        <f t="shared" si="10"/>
        <v>rokwzgl=37 i lp=22110</v>
      </c>
      <c r="AQ32" s="19" t="str">
        <f t="shared" si="10"/>
        <v>rokwzgl=38 i lp=22110</v>
      </c>
      <c r="AR32" s="19" t="str">
        <f t="shared" si="10"/>
        <v>rokwzgl=39 i lp=22110</v>
      </c>
    </row>
    <row r="33" spans="1:44">
      <c r="A33" s="74">
        <v>30000</v>
      </c>
      <c r="B33" s="18">
        <v>3</v>
      </c>
      <c r="C33" s="19" t="s">
        <v>20</v>
      </c>
      <c r="D33" s="19" t="str">
        <f t="shared" si="8"/>
        <v>rokwzgl=0 i lp=30000</v>
      </c>
      <c r="E33" s="19" t="str">
        <f t="shared" si="8"/>
        <v>rokwzgl=0 i lp=30000</v>
      </c>
      <c r="F33" s="19" t="str">
        <f t="shared" si="8"/>
        <v>rokwzgl=1 i lp=30000</v>
      </c>
      <c r="G33" s="19" t="str">
        <f t="shared" si="8"/>
        <v>rokwzgl=2 i lp=30000</v>
      </c>
      <c r="H33" s="19" t="str">
        <f t="shared" si="8"/>
        <v>rokwzgl=3 i lp=30000</v>
      </c>
      <c r="I33" s="19" t="str">
        <f t="shared" si="8"/>
        <v>rokwzgl=4 i lp=30000</v>
      </c>
      <c r="J33" s="19" t="str">
        <f t="shared" si="8"/>
        <v>rokwzgl=5 i lp=30000</v>
      </c>
      <c r="K33" s="19" t="str">
        <f t="shared" si="8"/>
        <v>rokwzgl=6 i lp=30000</v>
      </c>
      <c r="L33" s="19" t="str">
        <f t="shared" si="8"/>
        <v>rokwzgl=7 i lp=30000</v>
      </c>
      <c r="M33" s="19" t="str">
        <f t="shared" si="8"/>
        <v>rokwzgl=8 i lp=30000</v>
      </c>
      <c r="N33" s="19" t="str">
        <f t="shared" si="9"/>
        <v>rokwzgl=9 i lp=30000</v>
      </c>
      <c r="O33" s="19" t="str">
        <f t="shared" si="9"/>
        <v>rokwzgl=10 i lp=30000</v>
      </c>
      <c r="P33" s="19" t="str">
        <f t="shared" si="9"/>
        <v>rokwzgl=11 i lp=30000</v>
      </c>
      <c r="Q33" s="19" t="str">
        <f t="shared" si="9"/>
        <v>rokwzgl=12 i lp=30000</v>
      </c>
      <c r="R33" s="19" t="str">
        <f t="shared" si="9"/>
        <v>rokwzgl=13 i lp=30000</v>
      </c>
      <c r="S33" s="19" t="str">
        <f t="shared" si="9"/>
        <v>rokwzgl=14 i lp=30000</v>
      </c>
      <c r="T33" s="19" t="str">
        <f t="shared" si="9"/>
        <v>rokwzgl=15 i lp=30000</v>
      </c>
      <c r="U33" s="19" t="str">
        <f t="shared" si="9"/>
        <v>rokwzgl=16 i lp=30000</v>
      </c>
      <c r="V33" s="19" t="str">
        <f t="shared" si="9"/>
        <v>rokwzgl=17 i lp=30000</v>
      </c>
      <c r="W33" s="19" t="str">
        <f t="shared" si="9"/>
        <v>rokwzgl=18 i lp=30000</v>
      </c>
      <c r="X33" s="19" t="str">
        <f t="shared" si="11"/>
        <v>rokwzgl=19 i lp=30000</v>
      </c>
      <c r="Y33" s="19" t="str">
        <f t="shared" si="11"/>
        <v>rokwzgl=20 i lp=30000</v>
      </c>
      <c r="Z33" s="19" t="str">
        <f t="shared" si="11"/>
        <v>rokwzgl=21 i lp=30000</v>
      </c>
      <c r="AA33" s="19" t="str">
        <f t="shared" si="11"/>
        <v>rokwzgl=22 i lp=30000</v>
      </c>
      <c r="AB33" s="19" t="str">
        <f t="shared" si="11"/>
        <v>rokwzgl=23 i lp=30000</v>
      </c>
      <c r="AC33" s="19" t="str">
        <f t="shared" si="11"/>
        <v>rokwzgl=24 i lp=30000</v>
      </c>
      <c r="AD33" s="19" t="str">
        <f t="shared" si="11"/>
        <v>rokwzgl=25 i lp=30000</v>
      </c>
      <c r="AE33" s="19" t="str">
        <f t="shared" si="11"/>
        <v>rokwzgl=26 i lp=30000</v>
      </c>
      <c r="AF33" s="19" t="str">
        <f t="shared" si="11"/>
        <v>rokwzgl=27 i lp=30000</v>
      </c>
      <c r="AG33" s="19" t="str">
        <f t="shared" si="11"/>
        <v>rokwzgl=28 i lp=30000</v>
      </c>
      <c r="AH33" s="19" t="str">
        <f t="shared" si="11"/>
        <v>rokwzgl=29 i lp=30000</v>
      </c>
      <c r="AI33" s="19" t="str">
        <f t="shared" si="11"/>
        <v>rokwzgl=30 i lp=30000</v>
      </c>
      <c r="AJ33" s="19" t="str">
        <f t="shared" si="6"/>
        <v>rokwzgl=31 i lp=30000</v>
      </c>
      <c r="AK33" s="19" t="str">
        <f t="shared" si="6"/>
        <v>rokwzgl=32 i lp=30000</v>
      </c>
      <c r="AL33" s="19" t="str">
        <f t="shared" si="6"/>
        <v>rokwzgl=33 i lp=30000</v>
      </c>
      <c r="AM33" s="19" t="str">
        <f t="shared" si="6"/>
        <v>rokwzgl=34 i lp=30000</v>
      </c>
      <c r="AN33" s="19" t="str">
        <f t="shared" si="10"/>
        <v>rokwzgl=35 i lp=30000</v>
      </c>
      <c r="AO33" s="19" t="str">
        <f t="shared" si="10"/>
        <v>rokwzgl=36 i lp=30000</v>
      </c>
      <c r="AP33" s="19" t="str">
        <f t="shared" si="10"/>
        <v>rokwzgl=37 i lp=30000</v>
      </c>
      <c r="AQ33" s="19" t="str">
        <f t="shared" si="10"/>
        <v>rokwzgl=38 i lp=30000</v>
      </c>
      <c r="AR33" s="19" t="str">
        <f t="shared" si="10"/>
        <v>rokwzgl=39 i lp=30000</v>
      </c>
    </row>
    <row r="34" spans="1:44">
      <c r="A34" s="74">
        <v>31000</v>
      </c>
      <c r="B34" s="18" t="s">
        <v>299</v>
      </c>
      <c r="C34" s="19" t="s">
        <v>202</v>
      </c>
      <c r="D34" s="19" t="str">
        <f t="shared" si="8"/>
        <v>rokwzgl=0 i lp=31000</v>
      </c>
      <c r="E34" s="19" t="str">
        <f t="shared" si="8"/>
        <v>rokwzgl=0 i lp=31000</v>
      </c>
      <c r="F34" s="19" t="str">
        <f t="shared" si="8"/>
        <v>rokwzgl=1 i lp=31000</v>
      </c>
      <c r="G34" s="19" t="str">
        <f t="shared" si="8"/>
        <v>rokwzgl=2 i lp=31000</v>
      </c>
      <c r="H34" s="19" t="str">
        <f t="shared" si="8"/>
        <v>rokwzgl=3 i lp=31000</v>
      </c>
      <c r="I34" s="19" t="str">
        <f t="shared" si="8"/>
        <v>rokwzgl=4 i lp=31000</v>
      </c>
      <c r="J34" s="19" t="str">
        <f t="shared" si="8"/>
        <v>rokwzgl=5 i lp=31000</v>
      </c>
      <c r="K34" s="19" t="str">
        <f t="shared" si="8"/>
        <v>rokwzgl=6 i lp=31000</v>
      </c>
      <c r="L34" s="19" t="str">
        <f t="shared" si="8"/>
        <v>rokwzgl=7 i lp=31000</v>
      </c>
      <c r="M34" s="19" t="str">
        <f t="shared" si="8"/>
        <v>rokwzgl=8 i lp=31000</v>
      </c>
      <c r="N34" s="19" t="str">
        <f t="shared" si="9"/>
        <v>rokwzgl=9 i lp=31000</v>
      </c>
      <c r="O34" s="19" t="str">
        <f t="shared" si="9"/>
        <v>rokwzgl=10 i lp=31000</v>
      </c>
      <c r="P34" s="19" t="str">
        <f t="shared" si="9"/>
        <v>rokwzgl=11 i lp=31000</v>
      </c>
      <c r="Q34" s="19" t="str">
        <f t="shared" si="9"/>
        <v>rokwzgl=12 i lp=31000</v>
      </c>
      <c r="R34" s="19" t="str">
        <f t="shared" si="9"/>
        <v>rokwzgl=13 i lp=31000</v>
      </c>
      <c r="S34" s="19" t="str">
        <f t="shared" si="9"/>
        <v>rokwzgl=14 i lp=31000</v>
      </c>
      <c r="T34" s="19" t="str">
        <f t="shared" si="9"/>
        <v>rokwzgl=15 i lp=31000</v>
      </c>
      <c r="U34" s="19" t="str">
        <f t="shared" si="9"/>
        <v>rokwzgl=16 i lp=31000</v>
      </c>
      <c r="V34" s="19" t="str">
        <f t="shared" si="9"/>
        <v>rokwzgl=17 i lp=31000</v>
      </c>
      <c r="W34" s="19" t="str">
        <f t="shared" si="9"/>
        <v>rokwzgl=18 i lp=31000</v>
      </c>
      <c r="X34" s="19" t="str">
        <f t="shared" si="11"/>
        <v>rokwzgl=19 i lp=31000</v>
      </c>
      <c r="Y34" s="19" t="str">
        <f t="shared" si="11"/>
        <v>rokwzgl=20 i lp=31000</v>
      </c>
      <c r="Z34" s="19" t="str">
        <f t="shared" si="11"/>
        <v>rokwzgl=21 i lp=31000</v>
      </c>
      <c r="AA34" s="19" t="str">
        <f t="shared" si="11"/>
        <v>rokwzgl=22 i lp=31000</v>
      </c>
      <c r="AB34" s="19" t="str">
        <f t="shared" si="11"/>
        <v>rokwzgl=23 i lp=31000</v>
      </c>
      <c r="AC34" s="19" t="str">
        <f t="shared" si="11"/>
        <v>rokwzgl=24 i lp=31000</v>
      </c>
      <c r="AD34" s="19" t="str">
        <f t="shared" si="11"/>
        <v>rokwzgl=25 i lp=31000</v>
      </c>
      <c r="AE34" s="19" t="str">
        <f t="shared" si="11"/>
        <v>rokwzgl=26 i lp=31000</v>
      </c>
      <c r="AF34" s="19" t="str">
        <f t="shared" si="11"/>
        <v>rokwzgl=27 i lp=31000</v>
      </c>
      <c r="AG34" s="19" t="str">
        <f t="shared" si="11"/>
        <v>rokwzgl=28 i lp=31000</v>
      </c>
      <c r="AH34" s="19" t="str">
        <f t="shared" si="11"/>
        <v>rokwzgl=29 i lp=31000</v>
      </c>
      <c r="AI34" s="19" t="str">
        <f t="shared" si="11"/>
        <v>rokwzgl=30 i lp=31000</v>
      </c>
      <c r="AJ34" s="19" t="str">
        <f t="shared" si="6"/>
        <v>rokwzgl=31 i lp=31000</v>
      </c>
      <c r="AK34" s="19" t="str">
        <f t="shared" si="6"/>
        <v>rokwzgl=32 i lp=31000</v>
      </c>
      <c r="AL34" s="19" t="str">
        <f t="shared" si="6"/>
        <v>rokwzgl=33 i lp=31000</v>
      </c>
      <c r="AM34" s="19" t="str">
        <f t="shared" si="6"/>
        <v>rokwzgl=34 i lp=31000</v>
      </c>
      <c r="AN34" s="19" t="str">
        <f t="shared" si="10"/>
        <v>rokwzgl=35 i lp=31000</v>
      </c>
      <c r="AO34" s="19" t="str">
        <f t="shared" si="10"/>
        <v>rokwzgl=36 i lp=31000</v>
      </c>
      <c r="AP34" s="19" t="str">
        <f t="shared" si="10"/>
        <v>rokwzgl=37 i lp=31000</v>
      </c>
      <c r="AQ34" s="19" t="str">
        <f t="shared" si="10"/>
        <v>rokwzgl=38 i lp=31000</v>
      </c>
      <c r="AR34" s="19" t="str">
        <f t="shared" si="10"/>
        <v>rokwzgl=39 i lp=31000</v>
      </c>
    </row>
    <row r="35" spans="1:44">
      <c r="A35" s="74">
        <v>40000</v>
      </c>
      <c r="B35" s="18">
        <v>4</v>
      </c>
      <c r="C35" s="19" t="s">
        <v>21</v>
      </c>
      <c r="D35" s="19" t="str">
        <f t="shared" si="8"/>
        <v>rokwzgl=0 i lp=40000</v>
      </c>
      <c r="E35" s="19" t="str">
        <f t="shared" si="8"/>
        <v>rokwzgl=0 i lp=40000</v>
      </c>
      <c r="F35" s="19" t="str">
        <f t="shared" si="8"/>
        <v>rokwzgl=1 i lp=40000</v>
      </c>
      <c r="G35" s="19" t="str">
        <f t="shared" si="8"/>
        <v>rokwzgl=2 i lp=40000</v>
      </c>
      <c r="H35" s="19" t="str">
        <f t="shared" si="8"/>
        <v>rokwzgl=3 i lp=40000</v>
      </c>
      <c r="I35" s="19" t="str">
        <f t="shared" si="8"/>
        <v>rokwzgl=4 i lp=40000</v>
      </c>
      <c r="J35" s="19" t="str">
        <f t="shared" si="8"/>
        <v>rokwzgl=5 i lp=40000</v>
      </c>
      <c r="K35" s="19" t="str">
        <f t="shared" si="8"/>
        <v>rokwzgl=6 i lp=40000</v>
      </c>
      <c r="L35" s="19" t="str">
        <f t="shared" si="8"/>
        <v>rokwzgl=7 i lp=40000</v>
      </c>
      <c r="M35" s="19" t="str">
        <f t="shared" si="8"/>
        <v>rokwzgl=8 i lp=40000</v>
      </c>
      <c r="N35" s="19" t="str">
        <f t="shared" si="9"/>
        <v>rokwzgl=9 i lp=40000</v>
      </c>
      <c r="O35" s="19" t="str">
        <f t="shared" si="9"/>
        <v>rokwzgl=10 i lp=40000</v>
      </c>
      <c r="P35" s="19" t="str">
        <f t="shared" si="9"/>
        <v>rokwzgl=11 i lp=40000</v>
      </c>
      <c r="Q35" s="19" t="str">
        <f t="shared" si="9"/>
        <v>rokwzgl=12 i lp=40000</v>
      </c>
      <c r="R35" s="19" t="str">
        <f t="shared" si="9"/>
        <v>rokwzgl=13 i lp=40000</v>
      </c>
      <c r="S35" s="19" t="str">
        <f t="shared" si="9"/>
        <v>rokwzgl=14 i lp=40000</v>
      </c>
      <c r="T35" s="19" t="str">
        <f t="shared" si="9"/>
        <v>rokwzgl=15 i lp=40000</v>
      </c>
      <c r="U35" s="19" t="str">
        <f t="shared" si="9"/>
        <v>rokwzgl=16 i lp=40000</v>
      </c>
      <c r="V35" s="19" t="str">
        <f t="shared" si="9"/>
        <v>rokwzgl=17 i lp=40000</v>
      </c>
      <c r="W35" s="19" t="str">
        <f t="shared" si="9"/>
        <v>rokwzgl=18 i lp=40000</v>
      </c>
      <c r="X35" s="19" t="str">
        <f t="shared" si="11"/>
        <v>rokwzgl=19 i lp=40000</v>
      </c>
      <c r="Y35" s="19" t="str">
        <f t="shared" si="11"/>
        <v>rokwzgl=20 i lp=40000</v>
      </c>
      <c r="Z35" s="19" t="str">
        <f t="shared" si="11"/>
        <v>rokwzgl=21 i lp=40000</v>
      </c>
      <c r="AA35" s="19" t="str">
        <f t="shared" si="11"/>
        <v>rokwzgl=22 i lp=40000</v>
      </c>
      <c r="AB35" s="19" t="str">
        <f t="shared" si="11"/>
        <v>rokwzgl=23 i lp=40000</v>
      </c>
      <c r="AC35" s="19" t="str">
        <f t="shared" si="11"/>
        <v>rokwzgl=24 i lp=40000</v>
      </c>
      <c r="AD35" s="19" t="str">
        <f t="shared" si="11"/>
        <v>rokwzgl=25 i lp=40000</v>
      </c>
      <c r="AE35" s="19" t="str">
        <f t="shared" si="11"/>
        <v>rokwzgl=26 i lp=40000</v>
      </c>
      <c r="AF35" s="19" t="str">
        <f t="shared" si="11"/>
        <v>rokwzgl=27 i lp=40000</v>
      </c>
      <c r="AG35" s="19" t="str">
        <f t="shared" si="11"/>
        <v>rokwzgl=28 i lp=40000</v>
      </c>
      <c r="AH35" s="19" t="str">
        <f t="shared" si="11"/>
        <v>rokwzgl=29 i lp=40000</v>
      </c>
      <c r="AI35" s="19" t="str">
        <f t="shared" si="11"/>
        <v>rokwzgl=30 i lp=40000</v>
      </c>
      <c r="AJ35" s="19" t="str">
        <f t="shared" si="6"/>
        <v>rokwzgl=31 i lp=40000</v>
      </c>
      <c r="AK35" s="19" t="str">
        <f t="shared" si="6"/>
        <v>rokwzgl=32 i lp=40000</v>
      </c>
      <c r="AL35" s="19" t="str">
        <f t="shared" si="6"/>
        <v>rokwzgl=33 i lp=40000</v>
      </c>
      <c r="AM35" s="19" t="str">
        <f t="shared" si="6"/>
        <v>rokwzgl=34 i lp=40000</v>
      </c>
      <c r="AN35" s="19" t="str">
        <f t="shared" si="10"/>
        <v>rokwzgl=35 i lp=40000</v>
      </c>
      <c r="AO35" s="19" t="str">
        <f t="shared" si="10"/>
        <v>rokwzgl=36 i lp=40000</v>
      </c>
      <c r="AP35" s="19" t="str">
        <f t="shared" si="10"/>
        <v>rokwzgl=37 i lp=40000</v>
      </c>
      <c r="AQ35" s="19" t="str">
        <f t="shared" si="10"/>
        <v>rokwzgl=38 i lp=40000</v>
      </c>
      <c r="AR35" s="19" t="str">
        <f t="shared" si="10"/>
        <v>rokwzgl=39 i lp=40000</v>
      </c>
    </row>
    <row r="36" spans="1:44">
      <c r="A36" s="74">
        <v>41000</v>
      </c>
      <c r="B36" s="18" t="s">
        <v>55</v>
      </c>
      <c r="C36" s="19" t="s">
        <v>203</v>
      </c>
      <c r="D36" s="19" t="str">
        <f t="shared" ref="D36:M45" si="12">+"rokwzgl="&amp;D$9&amp;" i lp="&amp;$A36</f>
        <v>rokwzgl=0 i lp=41000</v>
      </c>
      <c r="E36" s="19" t="str">
        <f t="shared" si="12"/>
        <v>rokwzgl=0 i lp=41000</v>
      </c>
      <c r="F36" s="19" t="str">
        <f t="shared" si="12"/>
        <v>rokwzgl=1 i lp=41000</v>
      </c>
      <c r="G36" s="19" t="str">
        <f t="shared" si="12"/>
        <v>rokwzgl=2 i lp=41000</v>
      </c>
      <c r="H36" s="19" t="str">
        <f t="shared" si="12"/>
        <v>rokwzgl=3 i lp=41000</v>
      </c>
      <c r="I36" s="19" t="str">
        <f t="shared" si="12"/>
        <v>rokwzgl=4 i lp=41000</v>
      </c>
      <c r="J36" s="19" t="str">
        <f t="shared" si="12"/>
        <v>rokwzgl=5 i lp=41000</v>
      </c>
      <c r="K36" s="19" t="str">
        <f t="shared" si="12"/>
        <v>rokwzgl=6 i lp=41000</v>
      </c>
      <c r="L36" s="19" t="str">
        <f t="shared" si="12"/>
        <v>rokwzgl=7 i lp=41000</v>
      </c>
      <c r="M36" s="19" t="str">
        <f t="shared" si="12"/>
        <v>rokwzgl=8 i lp=41000</v>
      </c>
      <c r="N36" s="19" t="str">
        <f t="shared" ref="N36:W45" si="13">+"rokwzgl="&amp;N$9&amp;" i lp="&amp;$A36</f>
        <v>rokwzgl=9 i lp=41000</v>
      </c>
      <c r="O36" s="19" t="str">
        <f t="shared" si="13"/>
        <v>rokwzgl=10 i lp=41000</v>
      </c>
      <c r="P36" s="19" t="str">
        <f t="shared" si="13"/>
        <v>rokwzgl=11 i lp=41000</v>
      </c>
      <c r="Q36" s="19" t="str">
        <f t="shared" si="13"/>
        <v>rokwzgl=12 i lp=41000</v>
      </c>
      <c r="R36" s="19" t="str">
        <f t="shared" si="13"/>
        <v>rokwzgl=13 i lp=41000</v>
      </c>
      <c r="S36" s="19" t="str">
        <f t="shared" si="13"/>
        <v>rokwzgl=14 i lp=41000</v>
      </c>
      <c r="T36" s="19" t="str">
        <f t="shared" si="13"/>
        <v>rokwzgl=15 i lp=41000</v>
      </c>
      <c r="U36" s="19" t="str">
        <f t="shared" si="13"/>
        <v>rokwzgl=16 i lp=41000</v>
      </c>
      <c r="V36" s="19" t="str">
        <f t="shared" si="13"/>
        <v>rokwzgl=17 i lp=41000</v>
      </c>
      <c r="W36" s="19" t="str">
        <f t="shared" si="13"/>
        <v>rokwzgl=18 i lp=41000</v>
      </c>
      <c r="X36" s="19" t="str">
        <f t="shared" si="11"/>
        <v>rokwzgl=19 i lp=41000</v>
      </c>
      <c r="Y36" s="19" t="str">
        <f t="shared" si="11"/>
        <v>rokwzgl=20 i lp=41000</v>
      </c>
      <c r="Z36" s="19" t="str">
        <f t="shared" si="11"/>
        <v>rokwzgl=21 i lp=41000</v>
      </c>
      <c r="AA36" s="19" t="str">
        <f t="shared" si="11"/>
        <v>rokwzgl=22 i lp=41000</v>
      </c>
      <c r="AB36" s="19" t="str">
        <f t="shared" si="11"/>
        <v>rokwzgl=23 i lp=41000</v>
      </c>
      <c r="AC36" s="19" t="str">
        <f t="shared" si="11"/>
        <v>rokwzgl=24 i lp=41000</v>
      </c>
      <c r="AD36" s="19" t="str">
        <f t="shared" si="11"/>
        <v>rokwzgl=25 i lp=41000</v>
      </c>
      <c r="AE36" s="19" t="str">
        <f t="shared" si="11"/>
        <v>rokwzgl=26 i lp=41000</v>
      </c>
      <c r="AF36" s="19" t="str">
        <f t="shared" si="11"/>
        <v>rokwzgl=27 i lp=41000</v>
      </c>
      <c r="AG36" s="19" t="str">
        <f t="shared" si="11"/>
        <v>rokwzgl=28 i lp=41000</v>
      </c>
      <c r="AH36" s="19" t="str">
        <f t="shared" si="11"/>
        <v>rokwzgl=29 i lp=41000</v>
      </c>
      <c r="AI36" s="19" t="str">
        <f t="shared" si="11"/>
        <v>rokwzgl=30 i lp=41000</v>
      </c>
      <c r="AJ36" s="19" t="str">
        <f t="shared" si="6"/>
        <v>rokwzgl=31 i lp=41000</v>
      </c>
      <c r="AK36" s="19" t="str">
        <f t="shared" si="6"/>
        <v>rokwzgl=32 i lp=41000</v>
      </c>
      <c r="AL36" s="19" t="str">
        <f t="shared" si="6"/>
        <v>rokwzgl=33 i lp=41000</v>
      </c>
      <c r="AM36" s="19" t="str">
        <f t="shared" si="6"/>
        <v>rokwzgl=34 i lp=41000</v>
      </c>
      <c r="AN36" s="19" t="str">
        <f t="shared" si="10"/>
        <v>rokwzgl=35 i lp=41000</v>
      </c>
      <c r="AO36" s="19" t="str">
        <f t="shared" si="10"/>
        <v>rokwzgl=36 i lp=41000</v>
      </c>
      <c r="AP36" s="19" t="str">
        <f t="shared" si="10"/>
        <v>rokwzgl=37 i lp=41000</v>
      </c>
      <c r="AQ36" s="19" t="str">
        <f t="shared" si="10"/>
        <v>rokwzgl=38 i lp=41000</v>
      </c>
      <c r="AR36" s="19" t="str">
        <f t="shared" si="10"/>
        <v>rokwzgl=39 i lp=41000</v>
      </c>
    </row>
    <row r="37" spans="1:44">
      <c r="A37" s="74">
        <v>41100</v>
      </c>
      <c r="B37" s="18" t="s">
        <v>43</v>
      </c>
      <c r="C37" s="19" t="s">
        <v>204</v>
      </c>
      <c r="D37" s="19" t="str">
        <f t="shared" si="12"/>
        <v>rokwzgl=0 i lp=41100</v>
      </c>
      <c r="E37" s="19" t="str">
        <f t="shared" si="12"/>
        <v>rokwzgl=0 i lp=41100</v>
      </c>
      <c r="F37" s="19" t="str">
        <f t="shared" si="12"/>
        <v>rokwzgl=1 i lp=41100</v>
      </c>
      <c r="G37" s="19" t="str">
        <f t="shared" si="12"/>
        <v>rokwzgl=2 i lp=41100</v>
      </c>
      <c r="H37" s="19" t="str">
        <f t="shared" si="12"/>
        <v>rokwzgl=3 i lp=41100</v>
      </c>
      <c r="I37" s="19" t="str">
        <f t="shared" si="12"/>
        <v>rokwzgl=4 i lp=41100</v>
      </c>
      <c r="J37" s="19" t="str">
        <f t="shared" si="12"/>
        <v>rokwzgl=5 i lp=41100</v>
      </c>
      <c r="K37" s="19" t="str">
        <f t="shared" si="12"/>
        <v>rokwzgl=6 i lp=41100</v>
      </c>
      <c r="L37" s="19" t="str">
        <f t="shared" si="12"/>
        <v>rokwzgl=7 i lp=41100</v>
      </c>
      <c r="M37" s="19" t="str">
        <f t="shared" si="12"/>
        <v>rokwzgl=8 i lp=41100</v>
      </c>
      <c r="N37" s="19" t="str">
        <f t="shared" si="13"/>
        <v>rokwzgl=9 i lp=41100</v>
      </c>
      <c r="O37" s="19" t="str">
        <f t="shared" si="13"/>
        <v>rokwzgl=10 i lp=41100</v>
      </c>
      <c r="P37" s="19" t="str">
        <f t="shared" si="13"/>
        <v>rokwzgl=11 i lp=41100</v>
      </c>
      <c r="Q37" s="19" t="str">
        <f t="shared" si="13"/>
        <v>rokwzgl=12 i lp=41100</v>
      </c>
      <c r="R37" s="19" t="str">
        <f t="shared" si="13"/>
        <v>rokwzgl=13 i lp=41100</v>
      </c>
      <c r="S37" s="19" t="str">
        <f t="shared" si="13"/>
        <v>rokwzgl=14 i lp=41100</v>
      </c>
      <c r="T37" s="19" t="str">
        <f t="shared" si="13"/>
        <v>rokwzgl=15 i lp=41100</v>
      </c>
      <c r="U37" s="19" t="str">
        <f t="shared" si="13"/>
        <v>rokwzgl=16 i lp=41100</v>
      </c>
      <c r="V37" s="19" t="str">
        <f t="shared" si="13"/>
        <v>rokwzgl=17 i lp=41100</v>
      </c>
      <c r="W37" s="19" t="str">
        <f t="shared" si="13"/>
        <v>rokwzgl=18 i lp=41100</v>
      </c>
      <c r="X37" s="19" t="str">
        <f t="shared" si="11"/>
        <v>rokwzgl=19 i lp=41100</v>
      </c>
      <c r="Y37" s="19" t="str">
        <f t="shared" si="11"/>
        <v>rokwzgl=20 i lp=41100</v>
      </c>
      <c r="Z37" s="19" t="str">
        <f t="shared" si="11"/>
        <v>rokwzgl=21 i lp=41100</v>
      </c>
      <c r="AA37" s="19" t="str">
        <f t="shared" si="11"/>
        <v>rokwzgl=22 i lp=41100</v>
      </c>
      <c r="AB37" s="19" t="str">
        <f t="shared" si="11"/>
        <v>rokwzgl=23 i lp=41100</v>
      </c>
      <c r="AC37" s="19" t="str">
        <f t="shared" si="11"/>
        <v>rokwzgl=24 i lp=41100</v>
      </c>
      <c r="AD37" s="19" t="str">
        <f t="shared" si="11"/>
        <v>rokwzgl=25 i lp=41100</v>
      </c>
      <c r="AE37" s="19" t="str">
        <f t="shared" si="11"/>
        <v>rokwzgl=26 i lp=41100</v>
      </c>
      <c r="AF37" s="19" t="str">
        <f t="shared" si="11"/>
        <v>rokwzgl=27 i lp=41100</v>
      </c>
      <c r="AG37" s="19" t="str">
        <f t="shared" si="11"/>
        <v>rokwzgl=28 i lp=41100</v>
      </c>
      <c r="AH37" s="19" t="str">
        <f t="shared" si="11"/>
        <v>rokwzgl=29 i lp=41100</v>
      </c>
      <c r="AI37" s="19" t="str">
        <f t="shared" si="11"/>
        <v>rokwzgl=30 i lp=41100</v>
      </c>
      <c r="AJ37" s="19" t="str">
        <f t="shared" si="6"/>
        <v>rokwzgl=31 i lp=41100</v>
      </c>
      <c r="AK37" s="19" t="str">
        <f t="shared" si="6"/>
        <v>rokwzgl=32 i lp=41100</v>
      </c>
      <c r="AL37" s="19" t="str">
        <f t="shared" si="6"/>
        <v>rokwzgl=33 i lp=41100</v>
      </c>
      <c r="AM37" s="19" t="str">
        <f t="shared" si="6"/>
        <v>rokwzgl=34 i lp=41100</v>
      </c>
      <c r="AN37" s="19" t="str">
        <f t="shared" si="10"/>
        <v>rokwzgl=35 i lp=41100</v>
      </c>
      <c r="AO37" s="19" t="str">
        <f t="shared" si="10"/>
        <v>rokwzgl=36 i lp=41100</v>
      </c>
      <c r="AP37" s="19" t="str">
        <f t="shared" si="10"/>
        <v>rokwzgl=37 i lp=41100</v>
      </c>
      <c r="AQ37" s="19" t="str">
        <f t="shared" si="10"/>
        <v>rokwzgl=38 i lp=41100</v>
      </c>
      <c r="AR37" s="19" t="str">
        <f t="shared" si="10"/>
        <v>rokwzgl=39 i lp=41100</v>
      </c>
    </row>
    <row r="38" spans="1:44">
      <c r="A38" s="74">
        <v>42000</v>
      </c>
      <c r="B38" s="18" t="s">
        <v>56</v>
      </c>
      <c r="C38" s="19" t="s">
        <v>205</v>
      </c>
      <c r="D38" s="19" t="str">
        <f t="shared" si="12"/>
        <v>rokwzgl=0 i lp=42000</v>
      </c>
      <c r="E38" s="19" t="str">
        <f t="shared" si="12"/>
        <v>rokwzgl=0 i lp=42000</v>
      </c>
      <c r="F38" s="19" t="str">
        <f t="shared" si="12"/>
        <v>rokwzgl=1 i lp=42000</v>
      </c>
      <c r="G38" s="19" t="str">
        <f t="shared" si="12"/>
        <v>rokwzgl=2 i lp=42000</v>
      </c>
      <c r="H38" s="19" t="str">
        <f t="shared" si="12"/>
        <v>rokwzgl=3 i lp=42000</v>
      </c>
      <c r="I38" s="19" t="str">
        <f t="shared" si="12"/>
        <v>rokwzgl=4 i lp=42000</v>
      </c>
      <c r="J38" s="19" t="str">
        <f t="shared" si="12"/>
        <v>rokwzgl=5 i lp=42000</v>
      </c>
      <c r="K38" s="19" t="str">
        <f t="shared" si="12"/>
        <v>rokwzgl=6 i lp=42000</v>
      </c>
      <c r="L38" s="19" t="str">
        <f t="shared" si="12"/>
        <v>rokwzgl=7 i lp=42000</v>
      </c>
      <c r="M38" s="19" t="str">
        <f t="shared" si="12"/>
        <v>rokwzgl=8 i lp=42000</v>
      </c>
      <c r="N38" s="19" t="str">
        <f t="shared" si="13"/>
        <v>rokwzgl=9 i lp=42000</v>
      </c>
      <c r="O38" s="19" t="str">
        <f t="shared" si="13"/>
        <v>rokwzgl=10 i lp=42000</v>
      </c>
      <c r="P38" s="19" t="str">
        <f t="shared" si="13"/>
        <v>rokwzgl=11 i lp=42000</v>
      </c>
      <c r="Q38" s="19" t="str">
        <f t="shared" si="13"/>
        <v>rokwzgl=12 i lp=42000</v>
      </c>
      <c r="R38" s="19" t="str">
        <f t="shared" si="13"/>
        <v>rokwzgl=13 i lp=42000</v>
      </c>
      <c r="S38" s="19" t="str">
        <f t="shared" si="13"/>
        <v>rokwzgl=14 i lp=42000</v>
      </c>
      <c r="T38" s="19" t="str">
        <f t="shared" si="13"/>
        <v>rokwzgl=15 i lp=42000</v>
      </c>
      <c r="U38" s="19" t="str">
        <f t="shared" si="13"/>
        <v>rokwzgl=16 i lp=42000</v>
      </c>
      <c r="V38" s="19" t="str">
        <f t="shared" si="13"/>
        <v>rokwzgl=17 i lp=42000</v>
      </c>
      <c r="W38" s="19" t="str">
        <f t="shared" si="13"/>
        <v>rokwzgl=18 i lp=42000</v>
      </c>
      <c r="X38" s="19" t="str">
        <f t="shared" si="11"/>
        <v>rokwzgl=19 i lp=42000</v>
      </c>
      <c r="Y38" s="19" t="str">
        <f t="shared" si="11"/>
        <v>rokwzgl=20 i lp=42000</v>
      </c>
      <c r="Z38" s="19" t="str">
        <f t="shared" si="11"/>
        <v>rokwzgl=21 i lp=42000</v>
      </c>
      <c r="AA38" s="19" t="str">
        <f t="shared" si="11"/>
        <v>rokwzgl=22 i lp=42000</v>
      </c>
      <c r="AB38" s="19" t="str">
        <f t="shared" si="11"/>
        <v>rokwzgl=23 i lp=42000</v>
      </c>
      <c r="AC38" s="19" t="str">
        <f t="shared" si="11"/>
        <v>rokwzgl=24 i lp=42000</v>
      </c>
      <c r="AD38" s="19" t="str">
        <f t="shared" si="11"/>
        <v>rokwzgl=25 i lp=42000</v>
      </c>
      <c r="AE38" s="19" t="str">
        <f t="shared" si="11"/>
        <v>rokwzgl=26 i lp=42000</v>
      </c>
      <c r="AF38" s="19" t="str">
        <f t="shared" si="11"/>
        <v>rokwzgl=27 i lp=42000</v>
      </c>
      <c r="AG38" s="19" t="str">
        <f t="shared" si="11"/>
        <v>rokwzgl=28 i lp=42000</v>
      </c>
      <c r="AH38" s="19" t="str">
        <f t="shared" si="11"/>
        <v>rokwzgl=29 i lp=42000</v>
      </c>
      <c r="AI38" s="19" t="str">
        <f t="shared" si="11"/>
        <v>rokwzgl=30 i lp=42000</v>
      </c>
      <c r="AJ38" s="19" t="str">
        <f t="shared" si="6"/>
        <v>rokwzgl=31 i lp=42000</v>
      </c>
      <c r="AK38" s="19" t="str">
        <f t="shared" si="6"/>
        <v>rokwzgl=32 i lp=42000</v>
      </c>
      <c r="AL38" s="19" t="str">
        <f t="shared" si="6"/>
        <v>rokwzgl=33 i lp=42000</v>
      </c>
      <c r="AM38" s="19" t="str">
        <f t="shared" si="6"/>
        <v>rokwzgl=34 i lp=42000</v>
      </c>
      <c r="AN38" s="19" t="str">
        <f t="shared" si="10"/>
        <v>rokwzgl=35 i lp=42000</v>
      </c>
      <c r="AO38" s="19" t="str">
        <f t="shared" si="10"/>
        <v>rokwzgl=36 i lp=42000</v>
      </c>
      <c r="AP38" s="19" t="str">
        <f t="shared" si="10"/>
        <v>rokwzgl=37 i lp=42000</v>
      </c>
      <c r="AQ38" s="19" t="str">
        <f t="shared" si="10"/>
        <v>rokwzgl=38 i lp=42000</v>
      </c>
      <c r="AR38" s="19" t="str">
        <f t="shared" si="10"/>
        <v>rokwzgl=39 i lp=42000</v>
      </c>
    </row>
    <row r="39" spans="1:44">
      <c r="A39" s="74">
        <v>42100</v>
      </c>
      <c r="B39" s="18" t="s">
        <v>44</v>
      </c>
      <c r="C39" s="19" t="s">
        <v>206</v>
      </c>
      <c r="D39" s="19" t="str">
        <f t="shared" si="12"/>
        <v>rokwzgl=0 i lp=42100</v>
      </c>
      <c r="E39" s="19" t="str">
        <f t="shared" si="12"/>
        <v>rokwzgl=0 i lp=42100</v>
      </c>
      <c r="F39" s="19" t="str">
        <f t="shared" si="12"/>
        <v>rokwzgl=1 i lp=42100</v>
      </c>
      <c r="G39" s="19" t="str">
        <f t="shared" si="12"/>
        <v>rokwzgl=2 i lp=42100</v>
      </c>
      <c r="H39" s="19" t="str">
        <f t="shared" si="12"/>
        <v>rokwzgl=3 i lp=42100</v>
      </c>
      <c r="I39" s="19" t="str">
        <f t="shared" si="12"/>
        <v>rokwzgl=4 i lp=42100</v>
      </c>
      <c r="J39" s="19" t="str">
        <f t="shared" si="12"/>
        <v>rokwzgl=5 i lp=42100</v>
      </c>
      <c r="K39" s="19" t="str">
        <f t="shared" si="12"/>
        <v>rokwzgl=6 i lp=42100</v>
      </c>
      <c r="L39" s="19" t="str">
        <f t="shared" si="12"/>
        <v>rokwzgl=7 i lp=42100</v>
      </c>
      <c r="M39" s="19" t="str">
        <f t="shared" si="12"/>
        <v>rokwzgl=8 i lp=42100</v>
      </c>
      <c r="N39" s="19" t="str">
        <f t="shared" si="13"/>
        <v>rokwzgl=9 i lp=42100</v>
      </c>
      <c r="O39" s="19" t="str">
        <f t="shared" si="13"/>
        <v>rokwzgl=10 i lp=42100</v>
      </c>
      <c r="P39" s="19" t="str">
        <f t="shared" si="13"/>
        <v>rokwzgl=11 i lp=42100</v>
      </c>
      <c r="Q39" s="19" t="str">
        <f t="shared" si="13"/>
        <v>rokwzgl=12 i lp=42100</v>
      </c>
      <c r="R39" s="19" t="str">
        <f t="shared" si="13"/>
        <v>rokwzgl=13 i lp=42100</v>
      </c>
      <c r="S39" s="19" t="str">
        <f t="shared" si="13"/>
        <v>rokwzgl=14 i lp=42100</v>
      </c>
      <c r="T39" s="19" t="str">
        <f t="shared" si="13"/>
        <v>rokwzgl=15 i lp=42100</v>
      </c>
      <c r="U39" s="19" t="str">
        <f t="shared" si="13"/>
        <v>rokwzgl=16 i lp=42100</v>
      </c>
      <c r="V39" s="19" t="str">
        <f t="shared" si="13"/>
        <v>rokwzgl=17 i lp=42100</v>
      </c>
      <c r="W39" s="19" t="str">
        <f t="shared" si="13"/>
        <v>rokwzgl=18 i lp=42100</v>
      </c>
      <c r="X39" s="19" t="str">
        <f t="shared" si="11"/>
        <v>rokwzgl=19 i lp=42100</v>
      </c>
      <c r="Y39" s="19" t="str">
        <f t="shared" si="11"/>
        <v>rokwzgl=20 i lp=42100</v>
      </c>
      <c r="Z39" s="19" t="str">
        <f t="shared" si="11"/>
        <v>rokwzgl=21 i lp=42100</v>
      </c>
      <c r="AA39" s="19" t="str">
        <f t="shared" si="11"/>
        <v>rokwzgl=22 i lp=42100</v>
      </c>
      <c r="AB39" s="19" t="str">
        <f t="shared" si="11"/>
        <v>rokwzgl=23 i lp=42100</v>
      </c>
      <c r="AC39" s="19" t="str">
        <f t="shared" si="11"/>
        <v>rokwzgl=24 i lp=42100</v>
      </c>
      <c r="AD39" s="19" t="str">
        <f t="shared" si="11"/>
        <v>rokwzgl=25 i lp=42100</v>
      </c>
      <c r="AE39" s="19" t="str">
        <f t="shared" si="11"/>
        <v>rokwzgl=26 i lp=42100</v>
      </c>
      <c r="AF39" s="19" t="str">
        <f t="shared" si="11"/>
        <v>rokwzgl=27 i lp=42100</v>
      </c>
      <c r="AG39" s="19" t="str">
        <f t="shared" si="11"/>
        <v>rokwzgl=28 i lp=42100</v>
      </c>
      <c r="AH39" s="19" t="str">
        <f t="shared" si="11"/>
        <v>rokwzgl=29 i lp=42100</v>
      </c>
      <c r="AI39" s="19" t="str">
        <f t="shared" si="11"/>
        <v>rokwzgl=30 i lp=42100</v>
      </c>
      <c r="AJ39" s="19" t="str">
        <f t="shared" ref="AJ39:AM58" si="14">+"rokwzgl="&amp;AJ$9&amp;" i lp="&amp;$A39</f>
        <v>rokwzgl=31 i lp=42100</v>
      </c>
      <c r="AK39" s="19" t="str">
        <f t="shared" si="14"/>
        <v>rokwzgl=32 i lp=42100</v>
      </c>
      <c r="AL39" s="19" t="str">
        <f t="shared" si="14"/>
        <v>rokwzgl=33 i lp=42100</v>
      </c>
      <c r="AM39" s="19" t="str">
        <f t="shared" si="14"/>
        <v>rokwzgl=34 i lp=42100</v>
      </c>
      <c r="AN39" s="19" t="str">
        <f t="shared" si="10"/>
        <v>rokwzgl=35 i lp=42100</v>
      </c>
      <c r="AO39" s="19" t="str">
        <f t="shared" si="10"/>
        <v>rokwzgl=36 i lp=42100</v>
      </c>
      <c r="AP39" s="19" t="str">
        <f t="shared" si="10"/>
        <v>rokwzgl=37 i lp=42100</v>
      </c>
      <c r="AQ39" s="19" t="str">
        <f t="shared" si="10"/>
        <v>rokwzgl=38 i lp=42100</v>
      </c>
      <c r="AR39" s="19" t="str">
        <f t="shared" si="10"/>
        <v>rokwzgl=39 i lp=42100</v>
      </c>
    </row>
    <row r="40" spans="1:44">
      <c r="A40" s="74">
        <v>43000</v>
      </c>
      <c r="B40" s="18" t="s">
        <v>57</v>
      </c>
      <c r="C40" s="19" t="s">
        <v>207</v>
      </c>
      <c r="D40" s="19" t="str">
        <f t="shared" si="12"/>
        <v>rokwzgl=0 i lp=43000</v>
      </c>
      <c r="E40" s="19" t="str">
        <f t="shared" si="12"/>
        <v>rokwzgl=0 i lp=43000</v>
      </c>
      <c r="F40" s="19" t="str">
        <f t="shared" si="12"/>
        <v>rokwzgl=1 i lp=43000</v>
      </c>
      <c r="G40" s="19" t="str">
        <f t="shared" si="12"/>
        <v>rokwzgl=2 i lp=43000</v>
      </c>
      <c r="H40" s="19" t="str">
        <f t="shared" si="12"/>
        <v>rokwzgl=3 i lp=43000</v>
      </c>
      <c r="I40" s="19" t="str">
        <f t="shared" si="12"/>
        <v>rokwzgl=4 i lp=43000</v>
      </c>
      <c r="J40" s="19" t="str">
        <f t="shared" si="12"/>
        <v>rokwzgl=5 i lp=43000</v>
      </c>
      <c r="K40" s="19" t="str">
        <f t="shared" si="12"/>
        <v>rokwzgl=6 i lp=43000</v>
      </c>
      <c r="L40" s="19" t="str">
        <f t="shared" si="12"/>
        <v>rokwzgl=7 i lp=43000</v>
      </c>
      <c r="M40" s="19" t="str">
        <f t="shared" si="12"/>
        <v>rokwzgl=8 i lp=43000</v>
      </c>
      <c r="N40" s="19" t="str">
        <f t="shared" si="13"/>
        <v>rokwzgl=9 i lp=43000</v>
      </c>
      <c r="O40" s="19" t="str">
        <f t="shared" si="13"/>
        <v>rokwzgl=10 i lp=43000</v>
      </c>
      <c r="P40" s="19" t="str">
        <f t="shared" si="13"/>
        <v>rokwzgl=11 i lp=43000</v>
      </c>
      <c r="Q40" s="19" t="str">
        <f t="shared" si="13"/>
        <v>rokwzgl=12 i lp=43000</v>
      </c>
      <c r="R40" s="19" t="str">
        <f t="shared" si="13"/>
        <v>rokwzgl=13 i lp=43000</v>
      </c>
      <c r="S40" s="19" t="str">
        <f t="shared" si="13"/>
        <v>rokwzgl=14 i lp=43000</v>
      </c>
      <c r="T40" s="19" t="str">
        <f t="shared" si="13"/>
        <v>rokwzgl=15 i lp=43000</v>
      </c>
      <c r="U40" s="19" t="str">
        <f t="shared" si="13"/>
        <v>rokwzgl=16 i lp=43000</v>
      </c>
      <c r="V40" s="19" t="str">
        <f t="shared" si="13"/>
        <v>rokwzgl=17 i lp=43000</v>
      </c>
      <c r="W40" s="19" t="str">
        <f t="shared" si="13"/>
        <v>rokwzgl=18 i lp=43000</v>
      </c>
      <c r="X40" s="19" t="str">
        <f t="shared" ref="X40:AI49" si="15">+"rokwzgl="&amp;X$9&amp;" i lp="&amp;$A40</f>
        <v>rokwzgl=19 i lp=43000</v>
      </c>
      <c r="Y40" s="19" t="str">
        <f t="shared" si="15"/>
        <v>rokwzgl=20 i lp=43000</v>
      </c>
      <c r="Z40" s="19" t="str">
        <f t="shared" si="15"/>
        <v>rokwzgl=21 i lp=43000</v>
      </c>
      <c r="AA40" s="19" t="str">
        <f t="shared" si="15"/>
        <v>rokwzgl=22 i lp=43000</v>
      </c>
      <c r="AB40" s="19" t="str">
        <f t="shared" si="15"/>
        <v>rokwzgl=23 i lp=43000</v>
      </c>
      <c r="AC40" s="19" t="str">
        <f t="shared" si="15"/>
        <v>rokwzgl=24 i lp=43000</v>
      </c>
      <c r="AD40" s="19" t="str">
        <f t="shared" si="15"/>
        <v>rokwzgl=25 i lp=43000</v>
      </c>
      <c r="AE40" s="19" t="str">
        <f t="shared" si="15"/>
        <v>rokwzgl=26 i lp=43000</v>
      </c>
      <c r="AF40" s="19" t="str">
        <f t="shared" si="15"/>
        <v>rokwzgl=27 i lp=43000</v>
      </c>
      <c r="AG40" s="19" t="str">
        <f t="shared" si="15"/>
        <v>rokwzgl=28 i lp=43000</v>
      </c>
      <c r="AH40" s="19" t="str">
        <f t="shared" si="15"/>
        <v>rokwzgl=29 i lp=43000</v>
      </c>
      <c r="AI40" s="19" t="str">
        <f t="shared" si="15"/>
        <v>rokwzgl=30 i lp=43000</v>
      </c>
      <c r="AJ40" s="19" t="str">
        <f t="shared" si="14"/>
        <v>rokwzgl=31 i lp=43000</v>
      </c>
      <c r="AK40" s="19" t="str">
        <f t="shared" si="14"/>
        <v>rokwzgl=32 i lp=43000</v>
      </c>
      <c r="AL40" s="19" t="str">
        <f t="shared" si="14"/>
        <v>rokwzgl=33 i lp=43000</v>
      </c>
      <c r="AM40" s="19" t="str">
        <f t="shared" si="14"/>
        <v>rokwzgl=34 i lp=43000</v>
      </c>
      <c r="AN40" s="19" t="str">
        <f t="shared" si="10"/>
        <v>rokwzgl=35 i lp=43000</v>
      </c>
      <c r="AO40" s="19" t="str">
        <f t="shared" si="10"/>
        <v>rokwzgl=36 i lp=43000</v>
      </c>
      <c r="AP40" s="19" t="str">
        <f t="shared" si="10"/>
        <v>rokwzgl=37 i lp=43000</v>
      </c>
      <c r="AQ40" s="19" t="str">
        <f t="shared" si="10"/>
        <v>rokwzgl=38 i lp=43000</v>
      </c>
      <c r="AR40" s="19" t="str">
        <f t="shared" si="10"/>
        <v>rokwzgl=39 i lp=43000</v>
      </c>
    </row>
    <row r="41" spans="1:44">
      <c r="A41" s="74">
        <v>43100</v>
      </c>
      <c r="B41" s="18" t="s">
        <v>45</v>
      </c>
      <c r="C41" s="19" t="s">
        <v>206</v>
      </c>
      <c r="D41" s="19" t="str">
        <f t="shared" si="12"/>
        <v>rokwzgl=0 i lp=43100</v>
      </c>
      <c r="E41" s="19" t="str">
        <f t="shared" si="12"/>
        <v>rokwzgl=0 i lp=43100</v>
      </c>
      <c r="F41" s="19" t="str">
        <f t="shared" si="12"/>
        <v>rokwzgl=1 i lp=43100</v>
      </c>
      <c r="G41" s="19" t="str">
        <f t="shared" si="12"/>
        <v>rokwzgl=2 i lp=43100</v>
      </c>
      <c r="H41" s="19" t="str">
        <f t="shared" si="12"/>
        <v>rokwzgl=3 i lp=43100</v>
      </c>
      <c r="I41" s="19" t="str">
        <f t="shared" si="12"/>
        <v>rokwzgl=4 i lp=43100</v>
      </c>
      <c r="J41" s="19" t="str">
        <f t="shared" si="12"/>
        <v>rokwzgl=5 i lp=43100</v>
      </c>
      <c r="K41" s="19" t="str">
        <f t="shared" si="12"/>
        <v>rokwzgl=6 i lp=43100</v>
      </c>
      <c r="L41" s="19" t="str">
        <f t="shared" si="12"/>
        <v>rokwzgl=7 i lp=43100</v>
      </c>
      <c r="M41" s="19" t="str">
        <f t="shared" si="12"/>
        <v>rokwzgl=8 i lp=43100</v>
      </c>
      <c r="N41" s="19" t="str">
        <f t="shared" si="13"/>
        <v>rokwzgl=9 i lp=43100</v>
      </c>
      <c r="O41" s="19" t="str">
        <f t="shared" si="13"/>
        <v>rokwzgl=10 i lp=43100</v>
      </c>
      <c r="P41" s="19" t="str">
        <f t="shared" si="13"/>
        <v>rokwzgl=11 i lp=43100</v>
      </c>
      <c r="Q41" s="19" t="str">
        <f t="shared" si="13"/>
        <v>rokwzgl=12 i lp=43100</v>
      </c>
      <c r="R41" s="19" t="str">
        <f t="shared" si="13"/>
        <v>rokwzgl=13 i lp=43100</v>
      </c>
      <c r="S41" s="19" t="str">
        <f t="shared" si="13"/>
        <v>rokwzgl=14 i lp=43100</v>
      </c>
      <c r="T41" s="19" t="str">
        <f t="shared" si="13"/>
        <v>rokwzgl=15 i lp=43100</v>
      </c>
      <c r="U41" s="19" t="str">
        <f t="shared" si="13"/>
        <v>rokwzgl=16 i lp=43100</v>
      </c>
      <c r="V41" s="19" t="str">
        <f t="shared" si="13"/>
        <v>rokwzgl=17 i lp=43100</v>
      </c>
      <c r="W41" s="19" t="str">
        <f t="shared" si="13"/>
        <v>rokwzgl=18 i lp=43100</v>
      </c>
      <c r="X41" s="19" t="str">
        <f t="shared" si="15"/>
        <v>rokwzgl=19 i lp=43100</v>
      </c>
      <c r="Y41" s="19" t="str">
        <f t="shared" si="15"/>
        <v>rokwzgl=20 i lp=43100</v>
      </c>
      <c r="Z41" s="19" t="str">
        <f t="shared" si="15"/>
        <v>rokwzgl=21 i lp=43100</v>
      </c>
      <c r="AA41" s="19" t="str">
        <f t="shared" si="15"/>
        <v>rokwzgl=22 i lp=43100</v>
      </c>
      <c r="AB41" s="19" t="str">
        <f t="shared" si="15"/>
        <v>rokwzgl=23 i lp=43100</v>
      </c>
      <c r="AC41" s="19" t="str">
        <f t="shared" si="15"/>
        <v>rokwzgl=24 i lp=43100</v>
      </c>
      <c r="AD41" s="19" t="str">
        <f t="shared" si="15"/>
        <v>rokwzgl=25 i lp=43100</v>
      </c>
      <c r="AE41" s="19" t="str">
        <f t="shared" si="15"/>
        <v>rokwzgl=26 i lp=43100</v>
      </c>
      <c r="AF41" s="19" t="str">
        <f t="shared" si="15"/>
        <v>rokwzgl=27 i lp=43100</v>
      </c>
      <c r="AG41" s="19" t="str">
        <f t="shared" si="15"/>
        <v>rokwzgl=28 i lp=43100</v>
      </c>
      <c r="AH41" s="19" t="str">
        <f t="shared" si="15"/>
        <v>rokwzgl=29 i lp=43100</v>
      </c>
      <c r="AI41" s="19" t="str">
        <f t="shared" si="15"/>
        <v>rokwzgl=30 i lp=43100</v>
      </c>
      <c r="AJ41" s="19" t="str">
        <f t="shared" si="14"/>
        <v>rokwzgl=31 i lp=43100</v>
      </c>
      <c r="AK41" s="19" t="str">
        <f t="shared" si="14"/>
        <v>rokwzgl=32 i lp=43100</v>
      </c>
      <c r="AL41" s="19" t="str">
        <f t="shared" si="14"/>
        <v>rokwzgl=33 i lp=43100</v>
      </c>
      <c r="AM41" s="19" t="str">
        <f t="shared" si="14"/>
        <v>rokwzgl=34 i lp=43100</v>
      </c>
      <c r="AN41" s="19" t="str">
        <f t="shared" si="10"/>
        <v>rokwzgl=35 i lp=43100</v>
      </c>
      <c r="AO41" s="19" t="str">
        <f t="shared" si="10"/>
        <v>rokwzgl=36 i lp=43100</v>
      </c>
      <c r="AP41" s="19" t="str">
        <f t="shared" si="10"/>
        <v>rokwzgl=37 i lp=43100</v>
      </c>
      <c r="AQ41" s="19" t="str">
        <f t="shared" si="10"/>
        <v>rokwzgl=38 i lp=43100</v>
      </c>
      <c r="AR41" s="19" t="str">
        <f t="shared" si="10"/>
        <v>rokwzgl=39 i lp=43100</v>
      </c>
    </row>
    <row r="42" spans="1:44">
      <c r="A42" s="74">
        <v>44000</v>
      </c>
      <c r="B42" s="18" t="s">
        <v>58</v>
      </c>
      <c r="C42" s="19" t="s">
        <v>208</v>
      </c>
      <c r="D42" s="19" t="str">
        <f t="shared" si="12"/>
        <v>rokwzgl=0 i lp=44000</v>
      </c>
      <c r="E42" s="19" t="str">
        <f t="shared" si="12"/>
        <v>rokwzgl=0 i lp=44000</v>
      </c>
      <c r="F42" s="19" t="str">
        <f t="shared" si="12"/>
        <v>rokwzgl=1 i lp=44000</v>
      </c>
      <c r="G42" s="19" t="str">
        <f t="shared" si="12"/>
        <v>rokwzgl=2 i lp=44000</v>
      </c>
      <c r="H42" s="19" t="str">
        <f t="shared" si="12"/>
        <v>rokwzgl=3 i lp=44000</v>
      </c>
      <c r="I42" s="19" t="str">
        <f t="shared" si="12"/>
        <v>rokwzgl=4 i lp=44000</v>
      </c>
      <c r="J42" s="19" t="str">
        <f t="shared" si="12"/>
        <v>rokwzgl=5 i lp=44000</v>
      </c>
      <c r="K42" s="19" t="str">
        <f t="shared" si="12"/>
        <v>rokwzgl=6 i lp=44000</v>
      </c>
      <c r="L42" s="19" t="str">
        <f t="shared" si="12"/>
        <v>rokwzgl=7 i lp=44000</v>
      </c>
      <c r="M42" s="19" t="str">
        <f t="shared" si="12"/>
        <v>rokwzgl=8 i lp=44000</v>
      </c>
      <c r="N42" s="19" t="str">
        <f t="shared" si="13"/>
        <v>rokwzgl=9 i lp=44000</v>
      </c>
      <c r="O42" s="19" t="str">
        <f t="shared" si="13"/>
        <v>rokwzgl=10 i lp=44000</v>
      </c>
      <c r="P42" s="19" t="str">
        <f t="shared" si="13"/>
        <v>rokwzgl=11 i lp=44000</v>
      </c>
      <c r="Q42" s="19" t="str">
        <f t="shared" si="13"/>
        <v>rokwzgl=12 i lp=44000</v>
      </c>
      <c r="R42" s="19" t="str">
        <f t="shared" si="13"/>
        <v>rokwzgl=13 i lp=44000</v>
      </c>
      <c r="S42" s="19" t="str">
        <f t="shared" si="13"/>
        <v>rokwzgl=14 i lp=44000</v>
      </c>
      <c r="T42" s="19" t="str">
        <f t="shared" si="13"/>
        <v>rokwzgl=15 i lp=44000</v>
      </c>
      <c r="U42" s="19" t="str">
        <f t="shared" si="13"/>
        <v>rokwzgl=16 i lp=44000</v>
      </c>
      <c r="V42" s="19" t="str">
        <f t="shared" si="13"/>
        <v>rokwzgl=17 i lp=44000</v>
      </c>
      <c r="W42" s="19" t="str">
        <f t="shared" si="13"/>
        <v>rokwzgl=18 i lp=44000</v>
      </c>
      <c r="X42" s="19" t="str">
        <f t="shared" si="15"/>
        <v>rokwzgl=19 i lp=44000</v>
      </c>
      <c r="Y42" s="19" t="str">
        <f t="shared" si="15"/>
        <v>rokwzgl=20 i lp=44000</v>
      </c>
      <c r="Z42" s="19" t="str">
        <f t="shared" si="15"/>
        <v>rokwzgl=21 i lp=44000</v>
      </c>
      <c r="AA42" s="19" t="str">
        <f t="shared" si="15"/>
        <v>rokwzgl=22 i lp=44000</v>
      </c>
      <c r="AB42" s="19" t="str">
        <f t="shared" si="15"/>
        <v>rokwzgl=23 i lp=44000</v>
      </c>
      <c r="AC42" s="19" t="str">
        <f t="shared" si="15"/>
        <v>rokwzgl=24 i lp=44000</v>
      </c>
      <c r="AD42" s="19" t="str">
        <f t="shared" si="15"/>
        <v>rokwzgl=25 i lp=44000</v>
      </c>
      <c r="AE42" s="19" t="str">
        <f t="shared" si="15"/>
        <v>rokwzgl=26 i lp=44000</v>
      </c>
      <c r="AF42" s="19" t="str">
        <f t="shared" si="15"/>
        <v>rokwzgl=27 i lp=44000</v>
      </c>
      <c r="AG42" s="19" t="str">
        <f t="shared" si="15"/>
        <v>rokwzgl=28 i lp=44000</v>
      </c>
      <c r="AH42" s="19" t="str">
        <f t="shared" si="15"/>
        <v>rokwzgl=29 i lp=44000</v>
      </c>
      <c r="AI42" s="19" t="str">
        <f t="shared" si="15"/>
        <v>rokwzgl=30 i lp=44000</v>
      </c>
      <c r="AJ42" s="19" t="str">
        <f t="shared" si="14"/>
        <v>rokwzgl=31 i lp=44000</v>
      </c>
      <c r="AK42" s="19" t="str">
        <f t="shared" si="14"/>
        <v>rokwzgl=32 i lp=44000</v>
      </c>
      <c r="AL42" s="19" t="str">
        <f t="shared" si="14"/>
        <v>rokwzgl=33 i lp=44000</v>
      </c>
      <c r="AM42" s="19" t="str">
        <f t="shared" si="14"/>
        <v>rokwzgl=34 i lp=44000</v>
      </c>
      <c r="AN42" s="19" t="str">
        <f t="shared" si="10"/>
        <v>rokwzgl=35 i lp=44000</v>
      </c>
      <c r="AO42" s="19" t="str">
        <f t="shared" si="10"/>
        <v>rokwzgl=36 i lp=44000</v>
      </c>
      <c r="AP42" s="19" t="str">
        <f t="shared" si="10"/>
        <v>rokwzgl=37 i lp=44000</v>
      </c>
      <c r="AQ42" s="19" t="str">
        <f t="shared" si="10"/>
        <v>rokwzgl=38 i lp=44000</v>
      </c>
      <c r="AR42" s="19" t="str">
        <f t="shared" si="10"/>
        <v>rokwzgl=39 i lp=44000</v>
      </c>
    </row>
    <row r="43" spans="1:44">
      <c r="A43" s="74">
        <v>44100</v>
      </c>
      <c r="B43" s="18" t="s">
        <v>46</v>
      </c>
      <c r="C43" s="19" t="s">
        <v>206</v>
      </c>
      <c r="D43" s="19" t="str">
        <f t="shared" si="12"/>
        <v>rokwzgl=0 i lp=44100</v>
      </c>
      <c r="E43" s="19" t="str">
        <f t="shared" si="12"/>
        <v>rokwzgl=0 i lp=44100</v>
      </c>
      <c r="F43" s="19" t="str">
        <f t="shared" si="12"/>
        <v>rokwzgl=1 i lp=44100</v>
      </c>
      <c r="G43" s="19" t="str">
        <f t="shared" si="12"/>
        <v>rokwzgl=2 i lp=44100</v>
      </c>
      <c r="H43" s="19" t="str">
        <f t="shared" si="12"/>
        <v>rokwzgl=3 i lp=44100</v>
      </c>
      <c r="I43" s="19" t="str">
        <f t="shared" si="12"/>
        <v>rokwzgl=4 i lp=44100</v>
      </c>
      <c r="J43" s="19" t="str">
        <f t="shared" si="12"/>
        <v>rokwzgl=5 i lp=44100</v>
      </c>
      <c r="K43" s="19" t="str">
        <f t="shared" si="12"/>
        <v>rokwzgl=6 i lp=44100</v>
      </c>
      <c r="L43" s="19" t="str">
        <f t="shared" si="12"/>
        <v>rokwzgl=7 i lp=44100</v>
      </c>
      <c r="M43" s="19" t="str">
        <f t="shared" si="12"/>
        <v>rokwzgl=8 i lp=44100</v>
      </c>
      <c r="N43" s="19" t="str">
        <f t="shared" si="13"/>
        <v>rokwzgl=9 i lp=44100</v>
      </c>
      <c r="O43" s="19" t="str">
        <f t="shared" si="13"/>
        <v>rokwzgl=10 i lp=44100</v>
      </c>
      <c r="P43" s="19" t="str">
        <f t="shared" si="13"/>
        <v>rokwzgl=11 i lp=44100</v>
      </c>
      <c r="Q43" s="19" t="str">
        <f t="shared" si="13"/>
        <v>rokwzgl=12 i lp=44100</v>
      </c>
      <c r="R43" s="19" t="str">
        <f t="shared" si="13"/>
        <v>rokwzgl=13 i lp=44100</v>
      </c>
      <c r="S43" s="19" t="str">
        <f t="shared" si="13"/>
        <v>rokwzgl=14 i lp=44100</v>
      </c>
      <c r="T43" s="19" t="str">
        <f t="shared" si="13"/>
        <v>rokwzgl=15 i lp=44100</v>
      </c>
      <c r="U43" s="19" t="str">
        <f t="shared" si="13"/>
        <v>rokwzgl=16 i lp=44100</v>
      </c>
      <c r="V43" s="19" t="str">
        <f t="shared" si="13"/>
        <v>rokwzgl=17 i lp=44100</v>
      </c>
      <c r="W43" s="19" t="str">
        <f t="shared" si="13"/>
        <v>rokwzgl=18 i lp=44100</v>
      </c>
      <c r="X43" s="19" t="str">
        <f t="shared" si="15"/>
        <v>rokwzgl=19 i lp=44100</v>
      </c>
      <c r="Y43" s="19" t="str">
        <f t="shared" si="15"/>
        <v>rokwzgl=20 i lp=44100</v>
      </c>
      <c r="Z43" s="19" t="str">
        <f t="shared" si="15"/>
        <v>rokwzgl=21 i lp=44100</v>
      </c>
      <c r="AA43" s="19" t="str">
        <f t="shared" si="15"/>
        <v>rokwzgl=22 i lp=44100</v>
      </c>
      <c r="AB43" s="19" t="str">
        <f t="shared" si="15"/>
        <v>rokwzgl=23 i lp=44100</v>
      </c>
      <c r="AC43" s="19" t="str">
        <f t="shared" si="15"/>
        <v>rokwzgl=24 i lp=44100</v>
      </c>
      <c r="AD43" s="19" t="str">
        <f t="shared" si="15"/>
        <v>rokwzgl=25 i lp=44100</v>
      </c>
      <c r="AE43" s="19" t="str">
        <f t="shared" si="15"/>
        <v>rokwzgl=26 i lp=44100</v>
      </c>
      <c r="AF43" s="19" t="str">
        <f t="shared" si="15"/>
        <v>rokwzgl=27 i lp=44100</v>
      </c>
      <c r="AG43" s="19" t="str">
        <f t="shared" si="15"/>
        <v>rokwzgl=28 i lp=44100</v>
      </c>
      <c r="AH43" s="19" t="str">
        <f t="shared" si="15"/>
        <v>rokwzgl=29 i lp=44100</v>
      </c>
      <c r="AI43" s="19" t="str">
        <f t="shared" si="15"/>
        <v>rokwzgl=30 i lp=44100</v>
      </c>
      <c r="AJ43" s="19" t="str">
        <f t="shared" si="14"/>
        <v>rokwzgl=31 i lp=44100</v>
      </c>
      <c r="AK43" s="19" t="str">
        <f t="shared" si="14"/>
        <v>rokwzgl=32 i lp=44100</v>
      </c>
      <c r="AL43" s="19" t="str">
        <f t="shared" si="14"/>
        <v>rokwzgl=33 i lp=44100</v>
      </c>
      <c r="AM43" s="19" t="str">
        <f t="shared" si="14"/>
        <v>rokwzgl=34 i lp=44100</v>
      </c>
      <c r="AN43" s="19" t="str">
        <f t="shared" si="10"/>
        <v>rokwzgl=35 i lp=44100</v>
      </c>
      <c r="AO43" s="19" t="str">
        <f t="shared" si="10"/>
        <v>rokwzgl=36 i lp=44100</v>
      </c>
      <c r="AP43" s="19" t="str">
        <f t="shared" si="10"/>
        <v>rokwzgl=37 i lp=44100</v>
      </c>
      <c r="AQ43" s="19" t="str">
        <f t="shared" si="10"/>
        <v>rokwzgl=38 i lp=44100</v>
      </c>
      <c r="AR43" s="19" t="str">
        <f t="shared" si="10"/>
        <v>rokwzgl=39 i lp=44100</v>
      </c>
    </row>
    <row r="44" spans="1:44">
      <c r="A44" s="74">
        <v>45000</v>
      </c>
      <c r="B44" s="18" t="s">
        <v>300</v>
      </c>
      <c r="C44" s="19" t="s">
        <v>209</v>
      </c>
      <c r="D44" s="19" t="str">
        <f t="shared" si="12"/>
        <v>rokwzgl=0 i lp=45000</v>
      </c>
      <c r="E44" s="19" t="str">
        <f t="shared" si="12"/>
        <v>rokwzgl=0 i lp=45000</v>
      </c>
      <c r="F44" s="19" t="str">
        <f t="shared" si="12"/>
        <v>rokwzgl=1 i lp=45000</v>
      </c>
      <c r="G44" s="19" t="str">
        <f t="shared" si="12"/>
        <v>rokwzgl=2 i lp=45000</v>
      </c>
      <c r="H44" s="19" t="str">
        <f t="shared" si="12"/>
        <v>rokwzgl=3 i lp=45000</v>
      </c>
      <c r="I44" s="19" t="str">
        <f t="shared" si="12"/>
        <v>rokwzgl=4 i lp=45000</v>
      </c>
      <c r="J44" s="19" t="str">
        <f t="shared" si="12"/>
        <v>rokwzgl=5 i lp=45000</v>
      </c>
      <c r="K44" s="19" t="str">
        <f t="shared" si="12"/>
        <v>rokwzgl=6 i lp=45000</v>
      </c>
      <c r="L44" s="19" t="str">
        <f t="shared" si="12"/>
        <v>rokwzgl=7 i lp=45000</v>
      </c>
      <c r="M44" s="19" t="str">
        <f t="shared" si="12"/>
        <v>rokwzgl=8 i lp=45000</v>
      </c>
      <c r="N44" s="19" t="str">
        <f t="shared" si="13"/>
        <v>rokwzgl=9 i lp=45000</v>
      </c>
      <c r="O44" s="19" t="str">
        <f t="shared" si="13"/>
        <v>rokwzgl=10 i lp=45000</v>
      </c>
      <c r="P44" s="19" t="str">
        <f t="shared" si="13"/>
        <v>rokwzgl=11 i lp=45000</v>
      </c>
      <c r="Q44" s="19" t="str">
        <f t="shared" si="13"/>
        <v>rokwzgl=12 i lp=45000</v>
      </c>
      <c r="R44" s="19" t="str">
        <f t="shared" si="13"/>
        <v>rokwzgl=13 i lp=45000</v>
      </c>
      <c r="S44" s="19" t="str">
        <f t="shared" si="13"/>
        <v>rokwzgl=14 i lp=45000</v>
      </c>
      <c r="T44" s="19" t="str">
        <f t="shared" si="13"/>
        <v>rokwzgl=15 i lp=45000</v>
      </c>
      <c r="U44" s="19" t="str">
        <f t="shared" si="13"/>
        <v>rokwzgl=16 i lp=45000</v>
      </c>
      <c r="V44" s="19" t="str">
        <f t="shared" si="13"/>
        <v>rokwzgl=17 i lp=45000</v>
      </c>
      <c r="W44" s="19" t="str">
        <f t="shared" si="13"/>
        <v>rokwzgl=18 i lp=45000</v>
      </c>
      <c r="X44" s="19" t="str">
        <f t="shared" si="15"/>
        <v>rokwzgl=19 i lp=45000</v>
      </c>
      <c r="Y44" s="19" t="str">
        <f t="shared" si="15"/>
        <v>rokwzgl=20 i lp=45000</v>
      </c>
      <c r="Z44" s="19" t="str">
        <f t="shared" si="15"/>
        <v>rokwzgl=21 i lp=45000</v>
      </c>
      <c r="AA44" s="19" t="str">
        <f t="shared" si="15"/>
        <v>rokwzgl=22 i lp=45000</v>
      </c>
      <c r="AB44" s="19" t="str">
        <f t="shared" si="15"/>
        <v>rokwzgl=23 i lp=45000</v>
      </c>
      <c r="AC44" s="19" t="str">
        <f t="shared" si="15"/>
        <v>rokwzgl=24 i lp=45000</v>
      </c>
      <c r="AD44" s="19" t="str">
        <f t="shared" si="15"/>
        <v>rokwzgl=25 i lp=45000</v>
      </c>
      <c r="AE44" s="19" t="str">
        <f t="shared" si="15"/>
        <v>rokwzgl=26 i lp=45000</v>
      </c>
      <c r="AF44" s="19" t="str">
        <f t="shared" si="15"/>
        <v>rokwzgl=27 i lp=45000</v>
      </c>
      <c r="AG44" s="19" t="str">
        <f t="shared" si="15"/>
        <v>rokwzgl=28 i lp=45000</v>
      </c>
      <c r="AH44" s="19" t="str">
        <f t="shared" si="15"/>
        <v>rokwzgl=29 i lp=45000</v>
      </c>
      <c r="AI44" s="19" t="str">
        <f t="shared" si="15"/>
        <v>rokwzgl=30 i lp=45000</v>
      </c>
      <c r="AJ44" s="19" t="str">
        <f t="shared" si="14"/>
        <v>rokwzgl=31 i lp=45000</v>
      </c>
      <c r="AK44" s="19" t="str">
        <f t="shared" si="14"/>
        <v>rokwzgl=32 i lp=45000</v>
      </c>
      <c r="AL44" s="19" t="str">
        <f t="shared" si="14"/>
        <v>rokwzgl=33 i lp=45000</v>
      </c>
      <c r="AM44" s="19" t="str">
        <f t="shared" si="14"/>
        <v>rokwzgl=34 i lp=45000</v>
      </c>
      <c r="AN44" s="19" t="str">
        <f t="shared" si="10"/>
        <v>rokwzgl=35 i lp=45000</v>
      </c>
      <c r="AO44" s="19" t="str">
        <f t="shared" si="10"/>
        <v>rokwzgl=36 i lp=45000</v>
      </c>
      <c r="AP44" s="19" t="str">
        <f t="shared" si="10"/>
        <v>rokwzgl=37 i lp=45000</v>
      </c>
      <c r="AQ44" s="19" t="str">
        <f t="shared" si="10"/>
        <v>rokwzgl=38 i lp=45000</v>
      </c>
      <c r="AR44" s="19" t="str">
        <f t="shared" si="10"/>
        <v>rokwzgl=39 i lp=45000</v>
      </c>
    </row>
    <row r="45" spans="1:44">
      <c r="A45" s="74">
        <v>45100</v>
      </c>
      <c r="B45" s="18" t="s">
        <v>273</v>
      </c>
      <c r="C45" s="19" t="s">
        <v>206</v>
      </c>
      <c r="D45" s="19" t="str">
        <f t="shared" si="12"/>
        <v>rokwzgl=0 i lp=45100</v>
      </c>
      <c r="E45" s="19" t="str">
        <f t="shared" si="12"/>
        <v>rokwzgl=0 i lp=45100</v>
      </c>
      <c r="F45" s="19" t="str">
        <f t="shared" si="12"/>
        <v>rokwzgl=1 i lp=45100</v>
      </c>
      <c r="G45" s="19" t="str">
        <f t="shared" si="12"/>
        <v>rokwzgl=2 i lp=45100</v>
      </c>
      <c r="H45" s="19" t="str">
        <f t="shared" si="12"/>
        <v>rokwzgl=3 i lp=45100</v>
      </c>
      <c r="I45" s="19" t="str">
        <f t="shared" si="12"/>
        <v>rokwzgl=4 i lp=45100</v>
      </c>
      <c r="J45" s="19" t="str">
        <f t="shared" si="12"/>
        <v>rokwzgl=5 i lp=45100</v>
      </c>
      <c r="K45" s="19" t="str">
        <f t="shared" si="12"/>
        <v>rokwzgl=6 i lp=45100</v>
      </c>
      <c r="L45" s="19" t="str">
        <f t="shared" si="12"/>
        <v>rokwzgl=7 i lp=45100</v>
      </c>
      <c r="M45" s="19" t="str">
        <f t="shared" si="12"/>
        <v>rokwzgl=8 i lp=45100</v>
      </c>
      <c r="N45" s="19" t="str">
        <f t="shared" si="13"/>
        <v>rokwzgl=9 i lp=45100</v>
      </c>
      <c r="O45" s="19" t="str">
        <f t="shared" si="13"/>
        <v>rokwzgl=10 i lp=45100</v>
      </c>
      <c r="P45" s="19" t="str">
        <f t="shared" si="13"/>
        <v>rokwzgl=11 i lp=45100</v>
      </c>
      <c r="Q45" s="19" t="str">
        <f t="shared" si="13"/>
        <v>rokwzgl=12 i lp=45100</v>
      </c>
      <c r="R45" s="19" t="str">
        <f t="shared" si="13"/>
        <v>rokwzgl=13 i lp=45100</v>
      </c>
      <c r="S45" s="19" t="str">
        <f t="shared" si="13"/>
        <v>rokwzgl=14 i lp=45100</v>
      </c>
      <c r="T45" s="19" t="str">
        <f t="shared" si="13"/>
        <v>rokwzgl=15 i lp=45100</v>
      </c>
      <c r="U45" s="19" t="str">
        <f t="shared" si="13"/>
        <v>rokwzgl=16 i lp=45100</v>
      </c>
      <c r="V45" s="19" t="str">
        <f t="shared" si="13"/>
        <v>rokwzgl=17 i lp=45100</v>
      </c>
      <c r="W45" s="19" t="str">
        <f t="shared" si="13"/>
        <v>rokwzgl=18 i lp=45100</v>
      </c>
      <c r="X45" s="19" t="str">
        <f t="shared" si="15"/>
        <v>rokwzgl=19 i lp=45100</v>
      </c>
      <c r="Y45" s="19" t="str">
        <f t="shared" si="15"/>
        <v>rokwzgl=20 i lp=45100</v>
      </c>
      <c r="Z45" s="19" t="str">
        <f t="shared" si="15"/>
        <v>rokwzgl=21 i lp=45100</v>
      </c>
      <c r="AA45" s="19" t="str">
        <f t="shared" si="15"/>
        <v>rokwzgl=22 i lp=45100</v>
      </c>
      <c r="AB45" s="19" t="str">
        <f t="shared" si="15"/>
        <v>rokwzgl=23 i lp=45100</v>
      </c>
      <c r="AC45" s="19" t="str">
        <f t="shared" si="15"/>
        <v>rokwzgl=24 i lp=45100</v>
      </c>
      <c r="AD45" s="19" t="str">
        <f t="shared" si="15"/>
        <v>rokwzgl=25 i lp=45100</v>
      </c>
      <c r="AE45" s="19" t="str">
        <f t="shared" si="15"/>
        <v>rokwzgl=26 i lp=45100</v>
      </c>
      <c r="AF45" s="19" t="str">
        <f t="shared" si="15"/>
        <v>rokwzgl=27 i lp=45100</v>
      </c>
      <c r="AG45" s="19" t="str">
        <f t="shared" si="15"/>
        <v>rokwzgl=28 i lp=45100</v>
      </c>
      <c r="AH45" s="19" t="str">
        <f t="shared" si="15"/>
        <v>rokwzgl=29 i lp=45100</v>
      </c>
      <c r="AI45" s="19" t="str">
        <f t="shared" si="15"/>
        <v>rokwzgl=30 i lp=45100</v>
      </c>
      <c r="AJ45" s="19" t="str">
        <f t="shared" si="14"/>
        <v>rokwzgl=31 i lp=45100</v>
      </c>
      <c r="AK45" s="19" t="str">
        <f t="shared" si="14"/>
        <v>rokwzgl=32 i lp=45100</v>
      </c>
      <c r="AL45" s="19" t="str">
        <f t="shared" si="14"/>
        <v>rokwzgl=33 i lp=45100</v>
      </c>
      <c r="AM45" s="19" t="str">
        <f t="shared" si="14"/>
        <v>rokwzgl=34 i lp=45100</v>
      </c>
      <c r="AN45" s="19" t="str">
        <f t="shared" si="10"/>
        <v>rokwzgl=35 i lp=45100</v>
      </c>
      <c r="AO45" s="19" t="str">
        <f t="shared" si="10"/>
        <v>rokwzgl=36 i lp=45100</v>
      </c>
      <c r="AP45" s="19" t="str">
        <f t="shared" si="10"/>
        <v>rokwzgl=37 i lp=45100</v>
      </c>
      <c r="AQ45" s="19" t="str">
        <f t="shared" si="10"/>
        <v>rokwzgl=38 i lp=45100</v>
      </c>
      <c r="AR45" s="19" t="str">
        <f t="shared" si="10"/>
        <v>rokwzgl=39 i lp=45100</v>
      </c>
    </row>
    <row r="46" spans="1:44">
      <c r="A46" s="74">
        <v>50000</v>
      </c>
      <c r="B46" s="18">
        <v>5</v>
      </c>
      <c r="C46" s="19" t="s">
        <v>47</v>
      </c>
      <c r="D46" s="19" t="str">
        <f t="shared" ref="D46:M55" si="16">+"rokwzgl="&amp;D$9&amp;" i lp="&amp;$A46</f>
        <v>rokwzgl=0 i lp=50000</v>
      </c>
      <c r="E46" s="19" t="str">
        <f t="shared" si="16"/>
        <v>rokwzgl=0 i lp=50000</v>
      </c>
      <c r="F46" s="19" t="str">
        <f t="shared" si="16"/>
        <v>rokwzgl=1 i lp=50000</v>
      </c>
      <c r="G46" s="19" t="str">
        <f t="shared" si="16"/>
        <v>rokwzgl=2 i lp=50000</v>
      </c>
      <c r="H46" s="19" t="str">
        <f t="shared" si="16"/>
        <v>rokwzgl=3 i lp=50000</v>
      </c>
      <c r="I46" s="19" t="str">
        <f t="shared" si="16"/>
        <v>rokwzgl=4 i lp=50000</v>
      </c>
      <c r="J46" s="19" t="str">
        <f t="shared" si="16"/>
        <v>rokwzgl=5 i lp=50000</v>
      </c>
      <c r="K46" s="19" t="str">
        <f t="shared" si="16"/>
        <v>rokwzgl=6 i lp=50000</v>
      </c>
      <c r="L46" s="19" t="str">
        <f t="shared" si="16"/>
        <v>rokwzgl=7 i lp=50000</v>
      </c>
      <c r="M46" s="19" t="str">
        <f t="shared" si="16"/>
        <v>rokwzgl=8 i lp=50000</v>
      </c>
      <c r="N46" s="19" t="str">
        <f t="shared" ref="N46:W55" si="17">+"rokwzgl="&amp;N$9&amp;" i lp="&amp;$A46</f>
        <v>rokwzgl=9 i lp=50000</v>
      </c>
      <c r="O46" s="19" t="str">
        <f t="shared" si="17"/>
        <v>rokwzgl=10 i lp=50000</v>
      </c>
      <c r="P46" s="19" t="str">
        <f t="shared" si="17"/>
        <v>rokwzgl=11 i lp=50000</v>
      </c>
      <c r="Q46" s="19" t="str">
        <f t="shared" si="17"/>
        <v>rokwzgl=12 i lp=50000</v>
      </c>
      <c r="R46" s="19" t="str">
        <f t="shared" si="17"/>
        <v>rokwzgl=13 i lp=50000</v>
      </c>
      <c r="S46" s="19" t="str">
        <f t="shared" si="17"/>
        <v>rokwzgl=14 i lp=50000</v>
      </c>
      <c r="T46" s="19" t="str">
        <f t="shared" si="17"/>
        <v>rokwzgl=15 i lp=50000</v>
      </c>
      <c r="U46" s="19" t="str">
        <f t="shared" si="17"/>
        <v>rokwzgl=16 i lp=50000</v>
      </c>
      <c r="V46" s="19" t="str">
        <f t="shared" si="17"/>
        <v>rokwzgl=17 i lp=50000</v>
      </c>
      <c r="W46" s="19" t="str">
        <f t="shared" si="17"/>
        <v>rokwzgl=18 i lp=50000</v>
      </c>
      <c r="X46" s="19" t="str">
        <f t="shared" si="15"/>
        <v>rokwzgl=19 i lp=50000</v>
      </c>
      <c r="Y46" s="19" t="str">
        <f t="shared" si="15"/>
        <v>rokwzgl=20 i lp=50000</v>
      </c>
      <c r="Z46" s="19" t="str">
        <f t="shared" si="15"/>
        <v>rokwzgl=21 i lp=50000</v>
      </c>
      <c r="AA46" s="19" t="str">
        <f t="shared" si="15"/>
        <v>rokwzgl=22 i lp=50000</v>
      </c>
      <c r="AB46" s="19" t="str">
        <f t="shared" si="15"/>
        <v>rokwzgl=23 i lp=50000</v>
      </c>
      <c r="AC46" s="19" t="str">
        <f t="shared" si="15"/>
        <v>rokwzgl=24 i lp=50000</v>
      </c>
      <c r="AD46" s="19" t="str">
        <f t="shared" si="15"/>
        <v>rokwzgl=25 i lp=50000</v>
      </c>
      <c r="AE46" s="19" t="str">
        <f t="shared" si="15"/>
        <v>rokwzgl=26 i lp=50000</v>
      </c>
      <c r="AF46" s="19" t="str">
        <f t="shared" si="15"/>
        <v>rokwzgl=27 i lp=50000</v>
      </c>
      <c r="AG46" s="19" t="str">
        <f t="shared" si="15"/>
        <v>rokwzgl=28 i lp=50000</v>
      </c>
      <c r="AH46" s="19" t="str">
        <f t="shared" si="15"/>
        <v>rokwzgl=29 i lp=50000</v>
      </c>
      <c r="AI46" s="19" t="str">
        <f t="shared" si="15"/>
        <v>rokwzgl=30 i lp=50000</v>
      </c>
      <c r="AJ46" s="19" t="str">
        <f t="shared" si="14"/>
        <v>rokwzgl=31 i lp=50000</v>
      </c>
      <c r="AK46" s="19" t="str">
        <f t="shared" si="14"/>
        <v>rokwzgl=32 i lp=50000</v>
      </c>
      <c r="AL46" s="19" t="str">
        <f t="shared" si="14"/>
        <v>rokwzgl=33 i lp=50000</v>
      </c>
      <c r="AM46" s="19" t="str">
        <f t="shared" si="14"/>
        <v>rokwzgl=34 i lp=50000</v>
      </c>
      <c r="AN46" s="19" t="str">
        <f t="shared" si="10"/>
        <v>rokwzgl=35 i lp=50000</v>
      </c>
      <c r="AO46" s="19" t="str">
        <f t="shared" si="10"/>
        <v>rokwzgl=36 i lp=50000</v>
      </c>
      <c r="AP46" s="19" t="str">
        <f t="shared" si="10"/>
        <v>rokwzgl=37 i lp=50000</v>
      </c>
      <c r="AQ46" s="19" t="str">
        <f t="shared" si="10"/>
        <v>rokwzgl=38 i lp=50000</v>
      </c>
      <c r="AR46" s="19" t="str">
        <f t="shared" si="10"/>
        <v>rokwzgl=39 i lp=50000</v>
      </c>
    </row>
    <row r="47" spans="1:44">
      <c r="A47" s="74">
        <v>51000</v>
      </c>
      <c r="B47" s="18" t="s">
        <v>59</v>
      </c>
      <c r="C47" s="19" t="s">
        <v>210</v>
      </c>
      <c r="D47" s="19" t="str">
        <f t="shared" si="16"/>
        <v>rokwzgl=0 i lp=51000</v>
      </c>
      <c r="E47" s="19" t="str">
        <f t="shared" si="16"/>
        <v>rokwzgl=0 i lp=51000</v>
      </c>
      <c r="F47" s="19" t="str">
        <f t="shared" si="16"/>
        <v>rokwzgl=1 i lp=51000</v>
      </c>
      <c r="G47" s="19" t="str">
        <f t="shared" si="16"/>
        <v>rokwzgl=2 i lp=51000</v>
      </c>
      <c r="H47" s="19" t="str">
        <f t="shared" si="16"/>
        <v>rokwzgl=3 i lp=51000</v>
      </c>
      <c r="I47" s="19" t="str">
        <f t="shared" si="16"/>
        <v>rokwzgl=4 i lp=51000</v>
      </c>
      <c r="J47" s="19" t="str">
        <f t="shared" si="16"/>
        <v>rokwzgl=5 i lp=51000</v>
      </c>
      <c r="K47" s="19" t="str">
        <f t="shared" si="16"/>
        <v>rokwzgl=6 i lp=51000</v>
      </c>
      <c r="L47" s="19" t="str">
        <f t="shared" si="16"/>
        <v>rokwzgl=7 i lp=51000</v>
      </c>
      <c r="M47" s="19" t="str">
        <f t="shared" si="16"/>
        <v>rokwzgl=8 i lp=51000</v>
      </c>
      <c r="N47" s="19" t="str">
        <f t="shared" si="17"/>
        <v>rokwzgl=9 i lp=51000</v>
      </c>
      <c r="O47" s="19" t="str">
        <f t="shared" si="17"/>
        <v>rokwzgl=10 i lp=51000</v>
      </c>
      <c r="P47" s="19" t="str">
        <f t="shared" si="17"/>
        <v>rokwzgl=11 i lp=51000</v>
      </c>
      <c r="Q47" s="19" t="str">
        <f t="shared" si="17"/>
        <v>rokwzgl=12 i lp=51000</v>
      </c>
      <c r="R47" s="19" t="str">
        <f t="shared" si="17"/>
        <v>rokwzgl=13 i lp=51000</v>
      </c>
      <c r="S47" s="19" t="str">
        <f t="shared" si="17"/>
        <v>rokwzgl=14 i lp=51000</v>
      </c>
      <c r="T47" s="19" t="str">
        <f t="shared" si="17"/>
        <v>rokwzgl=15 i lp=51000</v>
      </c>
      <c r="U47" s="19" t="str">
        <f t="shared" si="17"/>
        <v>rokwzgl=16 i lp=51000</v>
      </c>
      <c r="V47" s="19" t="str">
        <f t="shared" si="17"/>
        <v>rokwzgl=17 i lp=51000</v>
      </c>
      <c r="W47" s="19" t="str">
        <f t="shared" si="17"/>
        <v>rokwzgl=18 i lp=51000</v>
      </c>
      <c r="X47" s="19" t="str">
        <f t="shared" si="15"/>
        <v>rokwzgl=19 i lp=51000</v>
      </c>
      <c r="Y47" s="19" t="str">
        <f t="shared" si="15"/>
        <v>rokwzgl=20 i lp=51000</v>
      </c>
      <c r="Z47" s="19" t="str">
        <f t="shared" si="15"/>
        <v>rokwzgl=21 i lp=51000</v>
      </c>
      <c r="AA47" s="19" t="str">
        <f t="shared" si="15"/>
        <v>rokwzgl=22 i lp=51000</v>
      </c>
      <c r="AB47" s="19" t="str">
        <f t="shared" si="15"/>
        <v>rokwzgl=23 i lp=51000</v>
      </c>
      <c r="AC47" s="19" t="str">
        <f t="shared" si="15"/>
        <v>rokwzgl=24 i lp=51000</v>
      </c>
      <c r="AD47" s="19" t="str">
        <f t="shared" si="15"/>
        <v>rokwzgl=25 i lp=51000</v>
      </c>
      <c r="AE47" s="19" t="str">
        <f t="shared" si="15"/>
        <v>rokwzgl=26 i lp=51000</v>
      </c>
      <c r="AF47" s="19" t="str">
        <f t="shared" si="15"/>
        <v>rokwzgl=27 i lp=51000</v>
      </c>
      <c r="AG47" s="19" t="str">
        <f t="shared" si="15"/>
        <v>rokwzgl=28 i lp=51000</v>
      </c>
      <c r="AH47" s="19" t="str">
        <f t="shared" si="15"/>
        <v>rokwzgl=29 i lp=51000</v>
      </c>
      <c r="AI47" s="19" t="str">
        <f t="shared" si="15"/>
        <v>rokwzgl=30 i lp=51000</v>
      </c>
      <c r="AJ47" s="19" t="str">
        <f t="shared" si="14"/>
        <v>rokwzgl=31 i lp=51000</v>
      </c>
      <c r="AK47" s="19" t="str">
        <f t="shared" si="14"/>
        <v>rokwzgl=32 i lp=51000</v>
      </c>
      <c r="AL47" s="19" t="str">
        <f t="shared" si="14"/>
        <v>rokwzgl=33 i lp=51000</v>
      </c>
      <c r="AM47" s="19" t="str">
        <f t="shared" si="14"/>
        <v>rokwzgl=34 i lp=51000</v>
      </c>
      <c r="AN47" s="19" t="str">
        <f t="shared" si="10"/>
        <v>rokwzgl=35 i lp=51000</v>
      </c>
      <c r="AO47" s="19" t="str">
        <f t="shared" si="10"/>
        <v>rokwzgl=36 i lp=51000</v>
      </c>
      <c r="AP47" s="19" t="str">
        <f t="shared" si="10"/>
        <v>rokwzgl=37 i lp=51000</v>
      </c>
      <c r="AQ47" s="19" t="str">
        <f t="shared" si="10"/>
        <v>rokwzgl=38 i lp=51000</v>
      </c>
      <c r="AR47" s="19" t="str">
        <f t="shared" si="10"/>
        <v>rokwzgl=39 i lp=51000</v>
      </c>
    </row>
    <row r="48" spans="1:44">
      <c r="A48" s="74">
        <v>51100</v>
      </c>
      <c r="B48" s="18" t="s">
        <v>48</v>
      </c>
      <c r="C48" s="19" t="s">
        <v>211</v>
      </c>
      <c r="D48" s="19" t="str">
        <f t="shared" si="16"/>
        <v>rokwzgl=0 i lp=51100</v>
      </c>
      <c r="E48" s="19" t="str">
        <f t="shared" si="16"/>
        <v>rokwzgl=0 i lp=51100</v>
      </c>
      <c r="F48" s="19" t="str">
        <f t="shared" si="16"/>
        <v>rokwzgl=1 i lp=51100</v>
      </c>
      <c r="G48" s="19" t="str">
        <f t="shared" si="16"/>
        <v>rokwzgl=2 i lp=51100</v>
      </c>
      <c r="H48" s="19" t="str">
        <f t="shared" si="16"/>
        <v>rokwzgl=3 i lp=51100</v>
      </c>
      <c r="I48" s="19" t="str">
        <f t="shared" si="16"/>
        <v>rokwzgl=4 i lp=51100</v>
      </c>
      <c r="J48" s="19" t="str">
        <f t="shared" si="16"/>
        <v>rokwzgl=5 i lp=51100</v>
      </c>
      <c r="K48" s="19" t="str">
        <f t="shared" si="16"/>
        <v>rokwzgl=6 i lp=51100</v>
      </c>
      <c r="L48" s="19" t="str">
        <f t="shared" si="16"/>
        <v>rokwzgl=7 i lp=51100</v>
      </c>
      <c r="M48" s="19" t="str">
        <f t="shared" si="16"/>
        <v>rokwzgl=8 i lp=51100</v>
      </c>
      <c r="N48" s="19" t="str">
        <f t="shared" si="17"/>
        <v>rokwzgl=9 i lp=51100</v>
      </c>
      <c r="O48" s="19" t="str">
        <f t="shared" si="17"/>
        <v>rokwzgl=10 i lp=51100</v>
      </c>
      <c r="P48" s="19" t="str">
        <f t="shared" si="17"/>
        <v>rokwzgl=11 i lp=51100</v>
      </c>
      <c r="Q48" s="19" t="str">
        <f t="shared" si="17"/>
        <v>rokwzgl=12 i lp=51100</v>
      </c>
      <c r="R48" s="19" t="str">
        <f t="shared" si="17"/>
        <v>rokwzgl=13 i lp=51100</v>
      </c>
      <c r="S48" s="19" t="str">
        <f t="shared" si="17"/>
        <v>rokwzgl=14 i lp=51100</v>
      </c>
      <c r="T48" s="19" t="str">
        <f t="shared" si="17"/>
        <v>rokwzgl=15 i lp=51100</v>
      </c>
      <c r="U48" s="19" t="str">
        <f t="shared" si="17"/>
        <v>rokwzgl=16 i lp=51100</v>
      </c>
      <c r="V48" s="19" t="str">
        <f t="shared" si="17"/>
        <v>rokwzgl=17 i lp=51100</v>
      </c>
      <c r="W48" s="19" t="str">
        <f t="shared" si="17"/>
        <v>rokwzgl=18 i lp=51100</v>
      </c>
      <c r="X48" s="19" t="str">
        <f t="shared" si="15"/>
        <v>rokwzgl=19 i lp=51100</v>
      </c>
      <c r="Y48" s="19" t="str">
        <f t="shared" si="15"/>
        <v>rokwzgl=20 i lp=51100</v>
      </c>
      <c r="Z48" s="19" t="str">
        <f t="shared" si="15"/>
        <v>rokwzgl=21 i lp=51100</v>
      </c>
      <c r="AA48" s="19" t="str">
        <f t="shared" si="15"/>
        <v>rokwzgl=22 i lp=51100</v>
      </c>
      <c r="AB48" s="19" t="str">
        <f t="shared" si="15"/>
        <v>rokwzgl=23 i lp=51100</v>
      </c>
      <c r="AC48" s="19" t="str">
        <f t="shared" si="15"/>
        <v>rokwzgl=24 i lp=51100</v>
      </c>
      <c r="AD48" s="19" t="str">
        <f t="shared" si="15"/>
        <v>rokwzgl=25 i lp=51100</v>
      </c>
      <c r="AE48" s="19" t="str">
        <f t="shared" si="15"/>
        <v>rokwzgl=26 i lp=51100</v>
      </c>
      <c r="AF48" s="19" t="str">
        <f t="shared" si="15"/>
        <v>rokwzgl=27 i lp=51100</v>
      </c>
      <c r="AG48" s="19" t="str">
        <f t="shared" si="15"/>
        <v>rokwzgl=28 i lp=51100</v>
      </c>
      <c r="AH48" s="19" t="str">
        <f t="shared" si="15"/>
        <v>rokwzgl=29 i lp=51100</v>
      </c>
      <c r="AI48" s="19" t="str">
        <f t="shared" si="15"/>
        <v>rokwzgl=30 i lp=51100</v>
      </c>
      <c r="AJ48" s="19" t="str">
        <f t="shared" si="14"/>
        <v>rokwzgl=31 i lp=51100</v>
      </c>
      <c r="AK48" s="19" t="str">
        <f t="shared" si="14"/>
        <v>rokwzgl=32 i lp=51100</v>
      </c>
      <c r="AL48" s="19" t="str">
        <f t="shared" si="14"/>
        <v>rokwzgl=33 i lp=51100</v>
      </c>
      <c r="AM48" s="19" t="str">
        <f t="shared" si="14"/>
        <v>rokwzgl=34 i lp=51100</v>
      </c>
      <c r="AN48" s="19" t="str">
        <f t="shared" si="10"/>
        <v>rokwzgl=35 i lp=51100</v>
      </c>
      <c r="AO48" s="19" t="str">
        <f t="shared" si="10"/>
        <v>rokwzgl=36 i lp=51100</v>
      </c>
      <c r="AP48" s="19" t="str">
        <f t="shared" si="10"/>
        <v>rokwzgl=37 i lp=51100</v>
      </c>
      <c r="AQ48" s="19" t="str">
        <f t="shared" si="10"/>
        <v>rokwzgl=38 i lp=51100</v>
      </c>
      <c r="AR48" s="19" t="str">
        <f t="shared" si="10"/>
        <v>rokwzgl=39 i lp=51100</v>
      </c>
    </row>
    <row r="49" spans="1:44">
      <c r="A49" s="74">
        <v>51111</v>
      </c>
      <c r="B49" s="18" t="s">
        <v>49</v>
      </c>
      <c r="C49" s="19" t="s">
        <v>212</v>
      </c>
      <c r="D49" s="19" t="str">
        <f t="shared" si="16"/>
        <v>rokwzgl=0 i lp=51111</v>
      </c>
      <c r="E49" s="19" t="str">
        <f t="shared" si="16"/>
        <v>rokwzgl=0 i lp=51111</v>
      </c>
      <c r="F49" s="19" t="str">
        <f t="shared" si="16"/>
        <v>rokwzgl=1 i lp=51111</v>
      </c>
      <c r="G49" s="19" t="str">
        <f t="shared" si="16"/>
        <v>rokwzgl=2 i lp=51111</v>
      </c>
      <c r="H49" s="19" t="str">
        <f t="shared" si="16"/>
        <v>rokwzgl=3 i lp=51111</v>
      </c>
      <c r="I49" s="19" t="str">
        <f t="shared" si="16"/>
        <v>rokwzgl=4 i lp=51111</v>
      </c>
      <c r="J49" s="19" t="str">
        <f t="shared" si="16"/>
        <v>rokwzgl=5 i lp=51111</v>
      </c>
      <c r="K49" s="19" t="str">
        <f t="shared" si="16"/>
        <v>rokwzgl=6 i lp=51111</v>
      </c>
      <c r="L49" s="19" t="str">
        <f t="shared" si="16"/>
        <v>rokwzgl=7 i lp=51111</v>
      </c>
      <c r="M49" s="19" t="str">
        <f t="shared" si="16"/>
        <v>rokwzgl=8 i lp=51111</v>
      </c>
      <c r="N49" s="19" t="str">
        <f t="shared" si="17"/>
        <v>rokwzgl=9 i lp=51111</v>
      </c>
      <c r="O49" s="19" t="str">
        <f t="shared" si="17"/>
        <v>rokwzgl=10 i lp=51111</v>
      </c>
      <c r="P49" s="19" t="str">
        <f t="shared" si="17"/>
        <v>rokwzgl=11 i lp=51111</v>
      </c>
      <c r="Q49" s="19" t="str">
        <f t="shared" si="17"/>
        <v>rokwzgl=12 i lp=51111</v>
      </c>
      <c r="R49" s="19" t="str">
        <f t="shared" si="17"/>
        <v>rokwzgl=13 i lp=51111</v>
      </c>
      <c r="S49" s="19" t="str">
        <f t="shared" si="17"/>
        <v>rokwzgl=14 i lp=51111</v>
      </c>
      <c r="T49" s="19" t="str">
        <f t="shared" si="17"/>
        <v>rokwzgl=15 i lp=51111</v>
      </c>
      <c r="U49" s="19" t="str">
        <f t="shared" si="17"/>
        <v>rokwzgl=16 i lp=51111</v>
      </c>
      <c r="V49" s="19" t="str">
        <f t="shared" si="17"/>
        <v>rokwzgl=17 i lp=51111</v>
      </c>
      <c r="W49" s="19" t="str">
        <f t="shared" si="17"/>
        <v>rokwzgl=18 i lp=51111</v>
      </c>
      <c r="X49" s="19" t="str">
        <f t="shared" si="15"/>
        <v>rokwzgl=19 i lp=51111</v>
      </c>
      <c r="Y49" s="19" t="str">
        <f t="shared" si="15"/>
        <v>rokwzgl=20 i lp=51111</v>
      </c>
      <c r="Z49" s="19" t="str">
        <f t="shared" si="15"/>
        <v>rokwzgl=21 i lp=51111</v>
      </c>
      <c r="AA49" s="19" t="str">
        <f t="shared" si="15"/>
        <v>rokwzgl=22 i lp=51111</v>
      </c>
      <c r="AB49" s="19" t="str">
        <f t="shared" si="15"/>
        <v>rokwzgl=23 i lp=51111</v>
      </c>
      <c r="AC49" s="19" t="str">
        <f t="shared" si="15"/>
        <v>rokwzgl=24 i lp=51111</v>
      </c>
      <c r="AD49" s="19" t="str">
        <f t="shared" si="15"/>
        <v>rokwzgl=25 i lp=51111</v>
      </c>
      <c r="AE49" s="19" t="str">
        <f t="shared" si="15"/>
        <v>rokwzgl=26 i lp=51111</v>
      </c>
      <c r="AF49" s="19" t="str">
        <f t="shared" si="15"/>
        <v>rokwzgl=27 i lp=51111</v>
      </c>
      <c r="AG49" s="19" t="str">
        <f t="shared" si="15"/>
        <v>rokwzgl=28 i lp=51111</v>
      </c>
      <c r="AH49" s="19" t="str">
        <f t="shared" si="15"/>
        <v>rokwzgl=29 i lp=51111</v>
      </c>
      <c r="AI49" s="19" t="str">
        <f t="shared" si="15"/>
        <v>rokwzgl=30 i lp=51111</v>
      </c>
      <c r="AJ49" s="19" t="str">
        <f t="shared" si="14"/>
        <v>rokwzgl=31 i lp=51111</v>
      </c>
      <c r="AK49" s="19" t="str">
        <f t="shared" si="14"/>
        <v>rokwzgl=32 i lp=51111</v>
      </c>
      <c r="AL49" s="19" t="str">
        <f t="shared" si="14"/>
        <v>rokwzgl=33 i lp=51111</v>
      </c>
      <c r="AM49" s="19" t="str">
        <f t="shared" si="14"/>
        <v>rokwzgl=34 i lp=51111</v>
      </c>
      <c r="AN49" s="19" t="str">
        <f t="shared" si="10"/>
        <v>rokwzgl=35 i lp=51111</v>
      </c>
      <c r="AO49" s="19" t="str">
        <f t="shared" si="10"/>
        <v>rokwzgl=36 i lp=51111</v>
      </c>
      <c r="AP49" s="19" t="str">
        <f t="shared" si="10"/>
        <v>rokwzgl=37 i lp=51111</v>
      </c>
      <c r="AQ49" s="19" t="str">
        <f t="shared" si="10"/>
        <v>rokwzgl=38 i lp=51111</v>
      </c>
      <c r="AR49" s="19" t="str">
        <f t="shared" si="10"/>
        <v>rokwzgl=39 i lp=51111</v>
      </c>
    </row>
    <row r="50" spans="1:44">
      <c r="A50" s="74">
        <v>51120</v>
      </c>
      <c r="B50" s="18" t="s">
        <v>168</v>
      </c>
      <c r="C50" s="19" t="s">
        <v>213</v>
      </c>
      <c r="D50" s="19" t="str">
        <f t="shared" si="16"/>
        <v>rokwzgl=0 i lp=51120</v>
      </c>
      <c r="E50" s="19" t="str">
        <f t="shared" si="16"/>
        <v>rokwzgl=0 i lp=51120</v>
      </c>
      <c r="F50" s="19" t="str">
        <f t="shared" si="16"/>
        <v>rokwzgl=1 i lp=51120</v>
      </c>
      <c r="G50" s="19" t="str">
        <f t="shared" si="16"/>
        <v>rokwzgl=2 i lp=51120</v>
      </c>
      <c r="H50" s="19" t="str">
        <f t="shared" si="16"/>
        <v>rokwzgl=3 i lp=51120</v>
      </c>
      <c r="I50" s="19" t="str">
        <f t="shared" si="16"/>
        <v>rokwzgl=4 i lp=51120</v>
      </c>
      <c r="J50" s="19" t="str">
        <f t="shared" si="16"/>
        <v>rokwzgl=5 i lp=51120</v>
      </c>
      <c r="K50" s="19" t="str">
        <f t="shared" si="16"/>
        <v>rokwzgl=6 i lp=51120</v>
      </c>
      <c r="L50" s="19" t="str">
        <f t="shared" si="16"/>
        <v>rokwzgl=7 i lp=51120</v>
      </c>
      <c r="M50" s="19" t="str">
        <f t="shared" si="16"/>
        <v>rokwzgl=8 i lp=51120</v>
      </c>
      <c r="N50" s="19" t="str">
        <f t="shared" si="17"/>
        <v>rokwzgl=9 i lp=51120</v>
      </c>
      <c r="O50" s="19" t="str">
        <f t="shared" si="17"/>
        <v>rokwzgl=10 i lp=51120</v>
      </c>
      <c r="P50" s="19" t="str">
        <f t="shared" si="17"/>
        <v>rokwzgl=11 i lp=51120</v>
      </c>
      <c r="Q50" s="19" t="str">
        <f t="shared" si="17"/>
        <v>rokwzgl=12 i lp=51120</v>
      </c>
      <c r="R50" s="19" t="str">
        <f t="shared" si="17"/>
        <v>rokwzgl=13 i lp=51120</v>
      </c>
      <c r="S50" s="19" t="str">
        <f t="shared" si="17"/>
        <v>rokwzgl=14 i lp=51120</v>
      </c>
      <c r="T50" s="19" t="str">
        <f t="shared" si="17"/>
        <v>rokwzgl=15 i lp=51120</v>
      </c>
      <c r="U50" s="19" t="str">
        <f t="shared" si="17"/>
        <v>rokwzgl=16 i lp=51120</v>
      </c>
      <c r="V50" s="19" t="str">
        <f t="shared" si="17"/>
        <v>rokwzgl=17 i lp=51120</v>
      </c>
      <c r="W50" s="19" t="str">
        <f t="shared" si="17"/>
        <v>rokwzgl=18 i lp=51120</v>
      </c>
      <c r="X50" s="19" t="str">
        <f t="shared" ref="X50:AI59" si="18">+"rokwzgl="&amp;X$9&amp;" i lp="&amp;$A50</f>
        <v>rokwzgl=19 i lp=51120</v>
      </c>
      <c r="Y50" s="19" t="str">
        <f t="shared" si="18"/>
        <v>rokwzgl=20 i lp=51120</v>
      </c>
      <c r="Z50" s="19" t="str">
        <f t="shared" si="18"/>
        <v>rokwzgl=21 i lp=51120</v>
      </c>
      <c r="AA50" s="19" t="str">
        <f t="shared" si="18"/>
        <v>rokwzgl=22 i lp=51120</v>
      </c>
      <c r="AB50" s="19" t="str">
        <f t="shared" si="18"/>
        <v>rokwzgl=23 i lp=51120</v>
      </c>
      <c r="AC50" s="19" t="str">
        <f t="shared" si="18"/>
        <v>rokwzgl=24 i lp=51120</v>
      </c>
      <c r="AD50" s="19" t="str">
        <f t="shared" si="18"/>
        <v>rokwzgl=25 i lp=51120</v>
      </c>
      <c r="AE50" s="19" t="str">
        <f t="shared" si="18"/>
        <v>rokwzgl=26 i lp=51120</v>
      </c>
      <c r="AF50" s="19" t="str">
        <f t="shared" si="18"/>
        <v>rokwzgl=27 i lp=51120</v>
      </c>
      <c r="AG50" s="19" t="str">
        <f t="shared" si="18"/>
        <v>rokwzgl=28 i lp=51120</v>
      </c>
      <c r="AH50" s="19" t="str">
        <f t="shared" si="18"/>
        <v>rokwzgl=29 i lp=51120</v>
      </c>
      <c r="AI50" s="19" t="str">
        <f t="shared" si="18"/>
        <v>rokwzgl=30 i lp=51120</v>
      </c>
      <c r="AJ50" s="19" t="str">
        <f t="shared" si="14"/>
        <v>rokwzgl=31 i lp=51120</v>
      </c>
      <c r="AK50" s="19" t="str">
        <f t="shared" si="14"/>
        <v>rokwzgl=32 i lp=51120</v>
      </c>
      <c r="AL50" s="19" t="str">
        <f t="shared" si="14"/>
        <v>rokwzgl=33 i lp=51120</v>
      </c>
      <c r="AM50" s="19" t="str">
        <f t="shared" si="14"/>
        <v>rokwzgl=34 i lp=51120</v>
      </c>
      <c r="AN50" s="19" t="str">
        <f t="shared" si="10"/>
        <v>rokwzgl=35 i lp=51120</v>
      </c>
      <c r="AO50" s="19" t="str">
        <f t="shared" si="10"/>
        <v>rokwzgl=36 i lp=51120</v>
      </c>
      <c r="AP50" s="19" t="str">
        <f t="shared" si="10"/>
        <v>rokwzgl=37 i lp=51120</v>
      </c>
      <c r="AQ50" s="19" t="str">
        <f t="shared" si="10"/>
        <v>rokwzgl=38 i lp=51120</v>
      </c>
      <c r="AR50" s="19" t="str">
        <f t="shared" si="10"/>
        <v>rokwzgl=39 i lp=51120</v>
      </c>
    </row>
    <row r="51" spans="1:44">
      <c r="A51" s="74">
        <v>51130</v>
      </c>
      <c r="B51" s="18" t="s">
        <v>169</v>
      </c>
      <c r="C51" s="19" t="s">
        <v>214</v>
      </c>
      <c r="D51" s="19" t="str">
        <f t="shared" si="16"/>
        <v>rokwzgl=0 i lp=51130</v>
      </c>
      <c r="E51" s="19" t="str">
        <f t="shared" si="16"/>
        <v>rokwzgl=0 i lp=51130</v>
      </c>
      <c r="F51" s="19" t="str">
        <f t="shared" si="16"/>
        <v>rokwzgl=1 i lp=51130</v>
      </c>
      <c r="G51" s="19" t="str">
        <f t="shared" si="16"/>
        <v>rokwzgl=2 i lp=51130</v>
      </c>
      <c r="H51" s="19" t="str">
        <f t="shared" si="16"/>
        <v>rokwzgl=3 i lp=51130</v>
      </c>
      <c r="I51" s="19" t="str">
        <f t="shared" si="16"/>
        <v>rokwzgl=4 i lp=51130</v>
      </c>
      <c r="J51" s="19" t="str">
        <f t="shared" si="16"/>
        <v>rokwzgl=5 i lp=51130</v>
      </c>
      <c r="K51" s="19" t="str">
        <f t="shared" si="16"/>
        <v>rokwzgl=6 i lp=51130</v>
      </c>
      <c r="L51" s="19" t="str">
        <f t="shared" si="16"/>
        <v>rokwzgl=7 i lp=51130</v>
      </c>
      <c r="M51" s="19" t="str">
        <f t="shared" si="16"/>
        <v>rokwzgl=8 i lp=51130</v>
      </c>
      <c r="N51" s="19" t="str">
        <f t="shared" si="17"/>
        <v>rokwzgl=9 i lp=51130</v>
      </c>
      <c r="O51" s="19" t="str">
        <f t="shared" si="17"/>
        <v>rokwzgl=10 i lp=51130</v>
      </c>
      <c r="P51" s="19" t="str">
        <f t="shared" si="17"/>
        <v>rokwzgl=11 i lp=51130</v>
      </c>
      <c r="Q51" s="19" t="str">
        <f t="shared" si="17"/>
        <v>rokwzgl=12 i lp=51130</v>
      </c>
      <c r="R51" s="19" t="str">
        <f t="shared" si="17"/>
        <v>rokwzgl=13 i lp=51130</v>
      </c>
      <c r="S51" s="19" t="str">
        <f t="shared" si="17"/>
        <v>rokwzgl=14 i lp=51130</v>
      </c>
      <c r="T51" s="19" t="str">
        <f t="shared" si="17"/>
        <v>rokwzgl=15 i lp=51130</v>
      </c>
      <c r="U51" s="19" t="str">
        <f t="shared" si="17"/>
        <v>rokwzgl=16 i lp=51130</v>
      </c>
      <c r="V51" s="19" t="str">
        <f t="shared" si="17"/>
        <v>rokwzgl=17 i lp=51130</v>
      </c>
      <c r="W51" s="19" t="str">
        <f t="shared" si="17"/>
        <v>rokwzgl=18 i lp=51130</v>
      </c>
      <c r="X51" s="19" t="str">
        <f t="shared" si="18"/>
        <v>rokwzgl=19 i lp=51130</v>
      </c>
      <c r="Y51" s="19" t="str">
        <f t="shared" si="18"/>
        <v>rokwzgl=20 i lp=51130</v>
      </c>
      <c r="Z51" s="19" t="str">
        <f t="shared" si="18"/>
        <v>rokwzgl=21 i lp=51130</v>
      </c>
      <c r="AA51" s="19" t="str">
        <f t="shared" si="18"/>
        <v>rokwzgl=22 i lp=51130</v>
      </c>
      <c r="AB51" s="19" t="str">
        <f t="shared" si="18"/>
        <v>rokwzgl=23 i lp=51130</v>
      </c>
      <c r="AC51" s="19" t="str">
        <f t="shared" si="18"/>
        <v>rokwzgl=24 i lp=51130</v>
      </c>
      <c r="AD51" s="19" t="str">
        <f t="shared" si="18"/>
        <v>rokwzgl=25 i lp=51130</v>
      </c>
      <c r="AE51" s="19" t="str">
        <f t="shared" si="18"/>
        <v>rokwzgl=26 i lp=51130</v>
      </c>
      <c r="AF51" s="19" t="str">
        <f t="shared" si="18"/>
        <v>rokwzgl=27 i lp=51130</v>
      </c>
      <c r="AG51" s="19" t="str">
        <f t="shared" si="18"/>
        <v>rokwzgl=28 i lp=51130</v>
      </c>
      <c r="AH51" s="19" t="str">
        <f t="shared" si="18"/>
        <v>rokwzgl=29 i lp=51130</v>
      </c>
      <c r="AI51" s="19" t="str">
        <f t="shared" si="18"/>
        <v>rokwzgl=30 i lp=51130</v>
      </c>
      <c r="AJ51" s="19" t="str">
        <f t="shared" si="14"/>
        <v>rokwzgl=31 i lp=51130</v>
      </c>
      <c r="AK51" s="19" t="str">
        <f t="shared" si="14"/>
        <v>rokwzgl=32 i lp=51130</v>
      </c>
      <c r="AL51" s="19" t="str">
        <f t="shared" si="14"/>
        <v>rokwzgl=33 i lp=51130</v>
      </c>
      <c r="AM51" s="19" t="str">
        <f t="shared" si="14"/>
        <v>rokwzgl=34 i lp=51130</v>
      </c>
      <c r="AN51" s="19" t="str">
        <f t="shared" si="10"/>
        <v>rokwzgl=35 i lp=51130</v>
      </c>
      <c r="AO51" s="19" t="str">
        <f t="shared" si="10"/>
        <v>rokwzgl=36 i lp=51130</v>
      </c>
      <c r="AP51" s="19" t="str">
        <f t="shared" si="10"/>
        <v>rokwzgl=37 i lp=51130</v>
      </c>
      <c r="AQ51" s="19" t="str">
        <f t="shared" si="10"/>
        <v>rokwzgl=38 i lp=51130</v>
      </c>
      <c r="AR51" s="19" t="str">
        <f t="shared" si="10"/>
        <v>rokwzgl=39 i lp=51130</v>
      </c>
    </row>
    <row r="52" spans="1:44">
      <c r="A52" s="74">
        <v>51131</v>
      </c>
      <c r="B52" s="18" t="s">
        <v>274</v>
      </c>
      <c r="C52" s="19" t="s">
        <v>215</v>
      </c>
      <c r="D52" s="19" t="str">
        <f t="shared" si="16"/>
        <v>rokwzgl=0 i lp=51131</v>
      </c>
      <c r="E52" s="19" t="str">
        <f t="shared" si="16"/>
        <v>rokwzgl=0 i lp=51131</v>
      </c>
      <c r="F52" s="19" t="str">
        <f t="shared" si="16"/>
        <v>rokwzgl=1 i lp=51131</v>
      </c>
      <c r="G52" s="19" t="str">
        <f t="shared" si="16"/>
        <v>rokwzgl=2 i lp=51131</v>
      </c>
      <c r="H52" s="19" t="str">
        <f t="shared" si="16"/>
        <v>rokwzgl=3 i lp=51131</v>
      </c>
      <c r="I52" s="19" t="str">
        <f t="shared" si="16"/>
        <v>rokwzgl=4 i lp=51131</v>
      </c>
      <c r="J52" s="19" t="str">
        <f t="shared" si="16"/>
        <v>rokwzgl=5 i lp=51131</v>
      </c>
      <c r="K52" s="19" t="str">
        <f t="shared" si="16"/>
        <v>rokwzgl=6 i lp=51131</v>
      </c>
      <c r="L52" s="19" t="str">
        <f t="shared" si="16"/>
        <v>rokwzgl=7 i lp=51131</v>
      </c>
      <c r="M52" s="19" t="str">
        <f t="shared" si="16"/>
        <v>rokwzgl=8 i lp=51131</v>
      </c>
      <c r="N52" s="19" t="str">
        <f t="shared" si="17"/>
        <v>rokwzgl=9 i lp=51131</v>
      </c>
      <c r="O52" s="19" t="str">
        <f t="shared" si="17"/>
        <v>rokwzgl=10 i lp=51131</v>
      </c>
      <c r="P52" s="19" t="str">
        <f t="shared" si="17"/>
        <v>rokwzgl=11 i lp=51131</v>
      </c>
      <c r="Q52" s="19" t="str">
        <f t="shared" si="17"/>
        <v>rokwzgl=12 i lp=51131</v>
      </c>
      <c r="R52" s="19" t="str">
        <f t="shared" si="17"/>
        <v>rokwzgl=13 i lp=51131</v>
      </c>
      <c r="S52" s="19" t="str">
        <f t="shared" si="17"/>
        <v>rokwzgl=14 i lp=51131</v>
      </c>
      <c r="T52" s="19" t="str">
        <f t="shared" si="17"/>
        <v>rokwzgl=15 i lp=51131</v>
      </c>
      <c r="U52" s="19" t="str">
        <f t="shared" si="17"/>
        <v>rokwzgl=16 i lp=51131</v>
      </c>
      <c r="V52" s="19" t="str">
        <f t="shared" si="17"/>
        <v>rokwzgl=17 i lp=51131</v>
      </c>
      <c r="W52" s="19" t="str">
        <f t="shared" si="17"/>
        <v>rokwzgl=18 i lp=51131</v>
      </c>
      <c r="X52" s="19" t="str">
        <f t="shared" si="18"/>
        <v>rokwzgl=19 i lp=51131</v>
      </c>
      <c r="Y52" s="19" t="str">
        <f t="shared" si="18"/>
        <v>rokwzgl=20 i lp=51131</v>
      </c>
      <c r="Z52" s="19" t="str">
        <f t="shared" si="18"/>
        <v>rokwzgl=21 i lp=51131</v>
      </c>
      <c r="AA52" s="19" t="str">
        <f t="shared" si="18"/>
        <v>rokwzgl=22 i lp=51131</v>
      </c>
      <c r="AB52" s="19" t="str">
        <f t="shared" si="18"/>
        <v>rokwzgl=23 i lp=51131</v>
      </c>
      <c r="AC52" s="19" t="str">
        <f t="shared" si="18"/>
        <v>rokwzgl=24 i lp=51131</v>
      </c>
      <c r="AD52" s="19" t="str">
        <f t="shared" si="18"/>
        <v>rokwzgl=25 i lp=51131</v>
      </c>
      <c r="AE52" s="19" t="str">
        <f t="shared" si="18"/>
        <v>rokwzgl=26 i lp=51131</v>
      </c>
      <c r="AF52" s="19" t="str">
        <f t="shared" si="18"/>
        <v>rokwzgl=27 i lp=51131</v>
      </c>
      <c r="AG52" s="19" t="str">
        <f t="shared" si="18"/>
        <v>rokwzgl=28 i lp=51131</v>
      </c>
      <c r="AH52" s="19" t="str">
        <f t="shared" si="18"/>
        <v>rokwzgl=29 i lp=51131</v>
      </c>
      <c r="AI52" s="19" t="str">
        <f t="shared" si="18"/>
        <v>rokwzgl=30 i lp=51131</v>
      </c>
      <c r="AJ52" s="19" t="str">
        <f t="shared" si="14"/>
        <v>rokwzgl=31 i lp=51131</v>
      </c>
      <c r="AK52" s="19" t="str">
        <f t="shared" si="14"/>
        <v>rokwzgl=32 i lp=51131</v>
      </c>
      <c r="AL52" s="19" t="str">
        <f t="shared" si="14"/>
        <v>rokwzgl=33 i lp=51131</v>
      </c>
      <c r="AM52" s="19" t="str">
        <f t="shared" si="14"/>
        <v>rokwzgl=34 i lp=51131</v>
      </c>
      <c r="AN52" s="19" t="str">
        <f t="shared" si="10"/>
        <v>rokwzgl=35 i lp=51131</v>
      </c>
      <c r="AO52" s="19" t="str">
        <f t="shared" si="10"/>
        <v>rokwzgl=36 i lp=51131</v>
      </c>
      <c r="AP52" s="19" t="str">
        <f t="shared" si="10"/>
        <v>rokwzgl=37 i lp=51131</v>
      </c>
      <c r="AQ52" s="19" t="str">
        <f t="shared" si="10"/>
        <v>rokwzgl=38 i lp=51131</v>
      </c>
      <c r="AR52" s="19" t="str">
        <f t="shared" si="10"/>
        <v>rokwzgl=39 i lp=51131</v>
      </c>
    </row>
    <row r="53" spans="1:44">
      <c r="A53" s="74">
        <v>51132</v>
      </c>
      <c r="B53" s="18" t="s">
        <v>275</v>
      </c>
      <c r="C53" s="19" t="s">
        <v>216</v>
      </c>
      <c r="D53" s="19" t="str">
        <f t="shared" si="16"/>
        <v>rokwzgl=0 i lp=51132</v>
      </c>
      <c r="E53" s="19" t="str">
        <f t="shared" si="16"/>
        <v>rokwzgl=0 i lp=51132</v>
      </c>
      <c r="F53" s="19" t="str">
        <f t="shared" si="16"/>
        <v>rokwzgl=1 i lp=51132</v>
      </c>
      <c r="G53" s="19" t="str">
        <f t="shared" si="16"/>
        <v>rokwzgl=2 i lp=51132</v>
      </c>
      <c r="H53" s="19" t="str">
        <f t="shared" si="16"/>
        <v>rokwzgl=3 i lp=51132</v>
      </c>
      <c r="I53" s="19" t="str">
        <f t="shared" si="16"/>
        <v>rokwzgl=4 i lp=51132</v>
      </c>
      <c r="J53" s="19" t="str">
        <f t="shared" si="16"/>
        <v>rokwzgl=5 i lp=51132</v>
      </c>
      <c r="K53" s="19" t="str">
        <f t="shared" si="16"/>
        <v>rokwzgl=6 i lp=51132</v>
      </c>
      <c r="L53" s="19" t="str">
        <f t="shared" si="16"/>
        <v>rokwzgl=7 i lp=51132</v>
      </c>
      <c r="M53" s="19" t="str">
        <f t="shared" si="16"/>
        <v>rokwzgl=8 i lp=51132</v>
      </c>
      <c r="N53" s="19" t="str">
        <f t="shared" si="17"/>
        <v>rokwzgl=9 i lp=51132</v>
      </c>
      <c r="O53" s="19" t="str">
        <f t="shared" si="17"/>
        <v>rokwzgl=10 i lp=51132</v>
      </c>
      <c r="P53" s="19" t="str">
        <f t="shared" si="17"/>
        <v>rokwzgl=11 i lp=51132</v>
      </c>
      <c r="Q53" s="19" t="str">
        <f t="shared" si="17"/>
        <v>rokwzgl=12 i lp=51132</v>
      </c>
      <c r="R53" s="19" t="str">
        <f t="shared" si="17"/>
        <v>rokwzgl=13 i lp=51132</v>
      </c>
      <c r="S53" s="19" t="str">
        <f t="shared" si="17"/>
        <v>rokwzgl=14 i lp=51132</v>
      </c>
      <c r="T53" s="19" t="str">
        <f t="shared" si="17"/>
        <v>rokwzgl=15 i lp=51132</v>
      </c>
      <c r="U53" s="19" t="str">
        <f t="shared" si="17"/>
        <v>rokwzgl=16 i lp=51132</v>
      </c>
      <c r="V53" s="19" t="str">
        <f t="shared" si="17"/>
        <v>rokwzgl=17 i lp=51132</v>
      </c>
      <c r="W53" s="19" t="str">
        <f t="shared" si="17"/>
        <v>rokwzgl=18 i lp=51132</v>
      </c>
      <c r="X53" s="19" t="str">
        <f t="shared" si="18"/>
        <v>rokwzgl=19 i lp=51132</v>
      </c>
      <c r="Y53" s="19" t="str">
        <f t="shared" si="18"/>
        <v>rokwzgl=20 i lp=51132</v>
      </c>
      <c r="Z53" s="19" t="str">
        <f t="shared" si="18"/>
        <v>rokwzgl=21 i lp=51132</v>
      </c>
      <c r="AA53" s="19" t="str">
        <f t="shared" si="18"/>
        <v>rokwzgl=22 i lp=51132</v>
      </c>
      <c r="AB53" s="19" t="str">
        <f t="shared" si="18"/>
        <v>rokwzgl=23 i lp=51132</v>
      </c>
      <c r="AC53" s="19" t="str">
        <f t="shared" si="18"/>
        <v>rokwzgl=24 i lp=51132</v>
      </c>
      <c r="AD53" s="19" t="str">
        <f t="shared" si="18"/>
        <v>rokwzgl=25 i lp=51132</v>
      </c>
      <c r="AE53" s="19" t="str">
        <f t="shared" si="18"/>
        <v>rokwzgl=26 i lp=51132</v>
      </c>
      <c r="AF53" s="19" t="str">
        <f t="shared" si="18"/>
        <v>rokwzgl=27 i lp=51132</v>
      </c>
      <c r="AG53" s="19" t="str">
        <f t="shared" si="18"/>
        <v>rokwzgl=28 i lp=51132</v>
      </c>
      <c r="AH53" s="19" t="str">
        <f t="shared" si="18"/>
        <v>rokwzgl=29 i lp=51132</v>
      </c>
      <c r="AI53" s="19" t="str">
        <f t="shared" si="18"/>
        <v>rokwzgl=30 i lp=51132</v>
      </c>
      <c r="AJ53" s="19" t="str">
        <f t="shared" si="14"/>
        <v>rokwzgl=31 i lp=51132</v>
      </c>
      <c r="AK53" s="19" t="str">
        <f t="shared" si="14"/>
        <v>rokwzgl=32 i lp=51132</v>
      </c>
      <c r="AL53" s="19" t="str">
        <f t="shared" si="14"/>
        <v>rokwzgl=33 i lp=51132</v>
      </c>
      <c r="AM53" s="19" t="str">
        <f t="shared" si="14"/>
        <v>rokwzgl=34 i lp=51132</v>
      </c>
      <c r="AN53" s="19" t="str">
        <f t="shared" si="10"/>
        <v>rokwzgl=35 i lp=51132</v>
      </c>
      <c r="AO53" s="19" t="str">
        <f t="shared" si="10"/>
        <v>rokwzgl=36 i lp=51132</v>
      </c>
      <c r="AP53" s="19" t="str">
        <f t="shared" si="10"/>
        <v>rokwzgl=37 i lp=51132</v>
      </c>
      <c r="AQ53" s="19" t="str">
        <f t="shared" si="10"/>
        <v>rokwzgl=38 i lp=51132</v>
      </c>
      <c r="AR53" s="19" t="str">
        <f t="shared" si="10"/>
        <v>rokwzgl=39 i lp=51132</v>
      </c>
    </row>
    <row r="54" spans="1:44">
      <c r="A54" s="74">
        <v>51133</v>
      </c>
      <c r="B54" s="18" t="s">
        <v>276</v>
      </c>
      <c r="C54" s="19" t="s">
        <v>217</v>
      </c>
      <c r="D54" s="19" t="str">
        <f t="shared" si="16"/>
        <v>rokwzgl=0 i lp=51133</v>
      </c>
      <c r="E54" s="19" t="str">
        <f t="shared" si="16"/>
        <v>rokwzgl=0 i lp=51133</v>
      </c>
      <c r="F54" s="19" t="str">
        <f t="shared" si="16"/>
        <v>rokwzgl=1 i lp=51133</v>
      </c>
      <c r="G54" s="19" t="str">
        <f t="shared" si="16"/>
        <v>rokwzgl=2 i lp=51133</v>
      </c>
      <c r="H54" s="19" t="str">
        <f t="shared" si="16"/>
        <v>rokwzgl=3 i lp=51133</v>
      </c>
      <c r="I54" s="19" t="str">
        <f t="shared" si="16"/>
        <v>rokwzgl=4 i lp=51133</v>
      </c>
      <c r="J54" s="19" t="str">
        <f t="shared" si="16"/>
        <v>rokwzgl=5 i lp=51133</v>
      </c>
      <c r="K54" s="19" t="str">
        <f t="shared" si="16"/>
        <v>rokwzgl=6 i lp=51133</v>
      </c>
      <c r="L54" s="19" t="str">
        <f t="shared" si="16"/>
        <v>rokwzgl=7 i lp=51133</v>
      </c>
      <c r="M54" s="19" t="str">
        <f t="shared" si="16"/>
        <v>rokwzgl=8 i lp=51133</v>
      </c>
      <c r="N54" s="19" t="str">
        <f t="shared" si="17"/>
        <v>rokwzgl=9 i lp=51133</v>
      </c>
      <c r="O54" s="19" t="str">
        <f t="shared" si="17"/>
        <v>rokwzgl=10 i lp=51133</v>
      </c>
      <c r="P54" s="19" t="str">
        <f t="shared" si="17"/>
        <v>rokwzgl=11 i lp=51133</v>
      </c>
      <c r="Q54" s="19" t="str">
        <f t="shared" si="17"/>
        <v>rokwzgl=12 i lp=51133</v>
      </c>
      <c r="R54" s="19" t="str">
        <f t="shared" si="17"/>
        <v>rokwzgl=13 i lp=51133</v>
      </c>
      <c r="S54" s="19" t="str">
        <f t="shared" si="17"/>
        <v>rokwzgl=14 i lp=51133</v>
      </c>
      <c r="T54" s="19" t="str">
        <f t="shared" si="17"/>
        <v>rokwzgl=15 i lp=51133</v>
      </c>
      <c r="U54" s="19" t="str">
        <f t="shared" si="17"/>
        <v>rokwzgl=16 i lp=51133</v>
      </c>
      <c r="V54" s="19" t="str">
        <f t="shared" si="17"/>
        <v>rokwzgl=17 i lp=51133</v>
      </c>
      <c r="W54" s="19" t="str">
        <f t="shared" si="17"/>
        <v>rokwzgl=18 i lp=51133</v>
      </c>
      <c r="X54" s="19" t="str">
        <f t="shared" si="18"/>
        <v>rokwzgl=19 i lp=51133</v>
      </c>
      <c r="Y54" s="19" t="str">
        <f t="shared" si="18"/>
        <v>rokwzgl=20 i lp=51133</v>
      </c>
      <c r="Z54" s="19" t="str">
        <f t="shared" si="18"/>
        <v>rokwzgl=21 i lp=51133</v>
      </c>
      <c r="AA54" s="19" t="str">
        <f t="shared" si="18"/>
        <v>rokwzgl=22 i lp=51133</v>
      </c>
      <c r="AB54" s="19" t="str">
        <f t="shared" si="18"/>
        <v>rokwzgl=23 i lp=51133</v>
      </c>
      <c r="AC54" s="19" t="str">
        <f t="shared" si="18"/>
        <v>rokwzgl=24 i lp=51133</v>
      </c>
      <c r="AD54" s="19" t="str">
        <f t="shared" si="18"/>
        <v>rokwzgl=25 i lp=51133</v>
      </c>
      <c r="AE54" s="19" t="str">
        <f t="shared" si="18"/>
        <v>rokwzgl=26 i lp=51133</v>
      </c>
      <c r="AF54" s="19" t="str">
        <f t="shared" si="18"/>
        <v>rokwzgl=27 i lp=51133</v>
      </c>
      <c r="AG54" s="19" t="str">
        <f t="shared" si="18"/>
        <v>rokwzgl=28 i lp=51133</v>
      </c>
      <c r="AH54" s="19" t="str">
        <f t="shared" si="18"/>
        <v>rokwzgl=29 i lp=51133</v>
      </c>
      <c r="AI54" s="19" t="str">
        <f t="shared" si="18"/>
        <v>rokwzgl=30 i lp=51133</v>
      </c>
      <c r="AJ54" s="19" t="str">
        <f t="shared" si="14"/>
        <v>rokwzgl=31 i lp=51133</v>
      </c>
      <c r="AK54" s="19" t="str">
        <f t="shared" si="14"/>
        <v>rokwzgl=32 i lp=51133</v>
      </c>
      <c r="AL54" s="19" t="str">
        <f t="shared" si="14"/>
        <v>rokwzgl=33 i lp=51133</v>
      </c>
      <c r="AM54" s="19" t="str">
        <f t="shared" si="14"/>
        <v>rokwzgl=34 i lp=51133</v>
      </c>
      <c r="AN54" s="19" t="str">
        <f t="shared" si="10"/>
        <v>rokwzgl=35 i lp=51133</v>
      </c>
      <c r="AO54" s="19" t="str">
        <f t="shared" si="10"/>
        <v>rokwzgl=36 i lp=51133</v>
      </c>
      <c r="AP54" s="19" t="str">
        <f t="shared" si="10"/>
        <v>rokwzgl=37 i lp=51133</v>
      </c>
      <c r="AQ54" s="19" t="str">
        <f t="shared" si="10"/>
        <v>rokwzgl=38 i lp=51133</v>
      </c>
      <c r="AR54" s="19" t="str">
        <f t="shared" si="10"/>
        <v>rokwzgl=39 i lp=51133</v>
      </c>
    </row>
    <row r="55" spans="1:44">
      <c r="A55" s="74">
        <v>51140</v>
      </c>
      <c r="B55" s="18" t="s">
        <v>583</v>
      </c>
      <c r="D55" s="19" t="str">
        <f t="shared" si="16"/>
        <v>rokwzgl=0 i lp=51140</v>
      </c>
      <c r="E55" s="19" t="str">
        <f t="shared" si="16"/>
        <v>rokwzgl=0 i lp=51140</v>
      </c>
      <c r="F55" s="19" t="str">
        <f t="shared" si="16"/>
        <v>rokwzgl=1 i lp=51140</v>
      </c>
      <c r="G55" s="19" t="str">
        <f t="shared" si="16"/>
        <v>rokwzgl=2 i lp=51140</v>
      </c>
      <c r="H55" s="19" t="str">
        <f t="shared" si="16"/>
        <v>rokwzgl=3 i lp=51140</v>
      </c>
      <c r="I55" s="19" t="str">
        <f t="shared" si="16"/>
        <v>rokwzgl=4 i lp=51140</v>
      </c>
      <c r="J55" s="19" t="str">
        <f t="shared" si="16"/>
        <v>rokwzgl=5 i lp=51140</v>
      </c>
      <c r="K55" s="19" t="str">
        <f t="shared" si="16"/>
        <v>rokwzgl=6 i lp=51140</v>
      </c>
      <c r="L55" s="19" t="str">
        <f t="shared" si="16"/>
        <v>rokwzgl=7 i lp=51140</v>
      </c>
      <c r="M55" s="19" t="str">
        <f t="shared" si="16"/>
        <v>rokwzgl=8 i lp=51140</v>
      </c>
      <c r="N55" s="19" t="str">
        <f t="shared" si="17"/>
        <v>rokwzgl=9 i lp=51140</v>
      </c>
      <c r="O55" s="19" t="str">
        <f t="shared" si="17"/>
        <v>rokwzgl=10 i lp=51140</v>
      </c>
      <c r="P55" s="19" t="str">
        <f t="shared" si="17"/>
        <v>rokwzgl=11 i lp=51140</v>
      </c>
      <c r="Q55" s="19" t="str">
        <f t="shared" si="17"/>
        <v>rokwzgl=12 i lp=51140</v>
      </c>
      <c r="R55" s="19" t="str">
        <f t="shared" si="17"/>
        <v>rokwzgl=13 i lp=51140</v>
      </c>
      <c r="S55" s="19" t="str">
        <f t="shared" si="17"/>
        <v>rokwzgl=14 i lp=51140</v>
      </c>
      <c r="T55" s="19" t="str">
        <f t="shared" si="17"/>
        <v>rokwzgl=15 i lp=51140</v>
      </c>
      <c r="U55" s="19" t="str">
        <f t="shared" si="17"/>
        <v>rokwzgl=16 i lp=51140</v>
      </c>
      <c r="V55" s="19" t="str">
        <f t="shared" si="17"/>
        <v>rokwzgl=17 i lp=51140</v>
      </c>
      <c r="W55" s="19" t="str">
        <f t="shared" si="17"/>
        <v>rokwzgl=18 i lp=51140</v>
      </c>
      <c r="X55" s="19" t="str">
        <f t="shared" si="18"/>
        <v>rokwzgl=19 i lp=51140</v>
      </c>
      <c r="Y55" s="19" t="str">
        <f t="shared" si="18"/>
        <v>rokwzgl=20 i lp=51140</v>
      </c>
      <c r="Z55" s="19" t="str">
        <f t="shared" si="18"/>
        <v>rokwzgl=21 i lp=51140</v>
      </c>
      <c r="AA55" s="19" t="str">
        <f t="shared" si="18"/>
        <v>rokwzgl=22 i lp=51140</v>
      </c>
      <c r="AB55" s="19" t="str">
        <f t="shared" si="18"/>
        <v>rokwzgl=23 i lp=51140</v>
      </c>
      <c r="AC55" s="19" t="str">
        <f t="shared" si="18"/>
        <v>rokwzgl=24 i lp=51140</v>
      </c>
      <c r="AD55" s="19" t="str">
        <f t="shared" si="18"/>
        <v>rokwzgl=25 i lp=51140</v>
      </c>
      <c r="AE55" s="19" t="str">
        <f t="shared" si="18"/>
        <v>rokwzgl=26 i lp=51140</v>
      </c>
      <c r="AF55" s="19" t="str">
        <f t="shared" si="18"/>
        <v>rokwzgl=27 i lp=51140</v>
      </c>
      <c r="AG55" s="19" t="str">
        <f t="shared" si="18"/>
        <v>rokwzgl=28 i lp=51140</v>
      </c>
      <c r="AH55" s="19" t="str">
        <f t="shared" si="18"/>
        <v>rokwzgl=29 i lp=51140</v>
      </c>
      <c r="AI55" s="19" t="str">
        <f t="shared" si="18"/>
        <v>rokwzgl=30 i lp=51140</v>
      </c>
      <c r="AJ55" s="19" t="str">
        <f t="shared" si="14"/>
        <v>rokwzgl=31 i lp=51140</v>
      </c>
      <c r="AK55" s="19" t="str">
        <f t="shared" si="14"/>
        <v>rokwzgl=32 i lp=51140</v>
      </c>
      <c r="AL55" s="19" t="str">
        <f t="shared" si="14"/>
        <v>rokwzgl=33 i lp=51140</v>
      </c>
      <c r="AM55" s="19" t="str">
        <f t="shared" si="14"/>
        <v>rokwzgl=34 i lp=51140</v>
      </c>
      <c r="AN55" s="19" t="str">
        <f t="shared" si="10"/>
        <v>rokwzgl=35 i lp=51140</v>
      </c>
      <c r="AO55" s="19" t="str">
        <f t="shared" si="10"/>
        <v>rokwzgl=36 i lp=51140</v>
      </c>
      <c r="AP55" s="19" t="str">
        <f t="shared" si="10"/>
        <v>rokwzgl=37 i lp=51140</v>
      </c>
      <c r="AQ55" s="19" t="str">
        <f t="shared" si="10"/>
        <v>rokwzgl=38 i lp=51140</v>
      </c>
      <c r="AR55" s="19" t="str">
        <f t="shared" si="10"/>
        <v>rokwzgl=39 i lp=51140</v>
      </c>
    </row>
    <row r="56" spans="1:44">
      <c r="A56" s="74">
        <v>52000</v>
      </c>
      <c r="B56" s="18" t="s">
        <v>60</v>
      </c>
      <c r="C56" s="19" t="s">
        <v>218</v>
      </c>
      <c r="D56" s="19" t="str">
        <f t="shared" ref="D56:M65" si="19">+"rokwzgl="&amp;D$9&amp;" i lp="&amp;$A56</f>
        <v>rokwzgl=0 i lp=52000</v>
      </c>
      <c r="E56" s="19" t="str">
        <f t="shared" si="19"/>
        <v>rokwzgl=0 i lp=52000</v>
      </c>
      <c r="F56" s="19" t="str">
        <f t="shared" si="19"/>
        <v>rokwzgl=1 i lp=52000</v>
      </c>
      <c r="G56" s="19" t="str">
        <f t="shared" si="19"/>
        <v>rokwzgl=2 i lp=52000</v>
      </c>
      <c r="H56" s="19" t="str">
        <f t="shared" si="19"/>
        <v>rokwzgl=3 i lp=52000</v>
      </c>
      <c r="I56" s="19" t="str">
        <f t="shared" si="19"/>
        <v>rokwzgl=4 i lp=52000</v>
      </c>
      <c r="J56" s="19" t="str">
        <f t="shared" si="19"/>
        <v>rokwzgl=5 i lp=52000</v>
      </c>
      <c r="K56" s="19" t="str">
        <f t="shared" si="19"/>
        <v>rokwzgl=6 i lp=52000</v>
      </c>
      <c r="L56" s="19" t="str">
        <f t="shared" si="19"/>
        <v>rokwzgl=7 i lp=52000</v>
      </c>
      <c r="M56" s="19" t="str">
        <f t="shared" si="19"/>
        <v>rokwzgl=8 i lp=52000</v>
      </c>
      <c r="N56" s="19" t="str">
        <f t="shared" ref="N56:W65" si="20">+"rokwzgl="&amp;N$9&amp;" i lp="&amp;$A56</f>
        <v>rokwzgl=9 i lp=52000</v>
      </c>
      <c r="O56" s="19" t="str">
        <f t="shared" si="20"/>
        <v>rokwzgl=10 i lp=52000</v>
      </c>
      <c r="P56" s="19" t="str">
        <f t="shared" si="20"/>
        <v>rokwzgl=11 i lp=52000</v>
      </c>
      <c r="Q56" s="19" t="str">
        <f t="shared" si="20"/>
        <v>rokwzgl=12 i lp=52000</v>
      </c>
      <c r="R56" s="19" t="str">
        <f t="shared" si="20"/>
        <v>rokwzgl=13 i lp=52000</v>
      </c>
      <c r="S56" s="19" t="str">
        <f t="shared" si="20"/>
        <v>rokwzgl=14 i lp=52000</v>
      </c>
      <c r="T56" s="19" t="str">
        <f t="shared" si="20"/>
        <v>rokwzgl=15 i lp=52000</v>
      </c>
      <c r="U56" s="19" t="str">
        <f t="shared" si="20"/>
        <v>rokwzgl=16 i lp=52000</v>
      </c>
      <c r="V56" s="19" t="str">
        <f t="shared" si="20"/>
        <v>rokwzgl=17 i lp=52000</v>
      </c>
      <c r="W56" s="19" t="str">
        <f t="shared" si="20"/>
        <v>rokwzgl=18 i lp=52000</v>
      </c>
      <c r="X56" s="19" t="str">
        <f t="shared" si="18"/>
        <v>rokwzgl=19 i lp=52000</v>
      </c>
      <c r="Y56" s="19" t="str">
        <f t="shared" si="18"/>
        <v>rokwzgl=20 i lp=52000</v>
      </c>
      <c r="Z56" s="19" t="str">
        <f t="shared" si="18"/>
        <v>rokwzgl=21 i lp=52000</v>
      </c>
      <c r="AA56" s="19" t="str">
        <f t="shared" si="18"/>
        <v>rokwzgl=22 i lp=52000</v>
      </c>
      <c r="AB56" s="19" t="str">
        <f t="shared" si="18"/>
        <v>rokwzgl=23 i lp=52000</v>
      </c>
      <c r="AC56" s="19" t="str">
        <f t="shared" si="18"/>
        <v>rokwzgl=24 i lp=52000</v>
      </c>
      <c r="AD56" s="19" t="str">
        <f t="shared" si="18"/>
        <v>rokwzgl=25 i lp=52000</v>
      </c>
      <c r="AE56" s="19" t="str">
        <f t="shared" si="18"/>
        <v>rokwzgl=26 i lp=52000</v>
      </c>
      <c r="AF56" s="19" t="str">
        <f t="shared" si="18"/>
        <v>rokwzgl=27 i lp=52000</v>
      </c>
      <c r="AG56" s="19" t="str">
        <f t="shared" si="18"/>
        <v>rokwzgl=28 i lp=52000</v>
      </c>
      <c r="AH56" s="19" t="str">
        <f t="shared" si="18"/>
        <v>rokwzgl=29 i lp=52000</v>
      </c>
      <c r="AI56" s="19" t="str">
        <f t="shared" si="18"/>
        <v>rokwzgl=30 i lp=52000</v>
      </c>
      <c r="AJ56" s="19" t="str">
        <f t="shared" si="14"/>
        <v>rokwzgl=31 i lp=52000</v>
      </c>
      <c r="AK56" s="19" t="str">
        <f t="shared" si="14"/>
        <v>rokwzgl=32 i lp=52000</v>
      </c>
      <c r="AL56" s="19" t="str">
        <f t="shared" si="14"/>
        <v>rokwzgl=33 i lp=52000</v>
      </c>
      <c r="AM56" s="19" t="str">
        <f t="shared" si="14"/>
        <v>rokwzgl=34 i lp=52000</v>
      </c>
      <c r="AN56" s="19" t="str">
        <f t="shared" si="10"/>
        <v>rokwzgl=35 i lp=52000</v>
      </c>
      <c r="AO56" s="19" t="str">
        <f t="shared" si="10"/>
        <v>rokwzgl=36 i lp=52000</v>
      </c>
      <c r="AP56" s="19" t="str">
        <f t="shared" si="10"/>
        <v>rokwzgl=37 i lp=52000</v>
      </c>
      <c r="AQ56" s="19" t="str">
        <f t="shared" si="10"/>
        <v>rokwzgl=38 i lp=52000</v>
      </c>
      <c r="AR56" s="19" t="str">
        <f t="shared" si="10"/>
        <v>rokwzgl=39 i lp=52000</v>
      </c>
    </row>
    <row r="57" spans="1:44">
      <c r="A57" s="74">
        <v>60000</v>
      </c>
      <c r="B57" s="18">
        <v>6</v>
      </c>
      <c r="C57" s="19" t="s">
        <v>219</v>
      </c>
      <c r="D57" s="19" t="str">
        <f t="shared" si="19"/>
        <v>rokwzgl=0 i lp=60000</v>
      </c>
      <c r="E57" s="19" t="str">
        <f t="shared" si="19"/>
        <v>rokwzgl=0 i lp=60000</v>
      </c>
      <c r="F57" s="19" t="str">
        <f t="shared" si="19"/>
        <v>rokwzgl=1 i lp=60000</v>
      </c>
      <c r="G57" s="19" t="str">
        <f t="shared" si="19"/>
        <v>rokwzgl=2 i lp=60000</v>
      </c>
      <c r="H57" s="19" t="str">
        <f t="shared" si="19"/>
        <v>rokwzgl=3 i lp=60000</v>
      </c>
      <c r="I57" s="19" t="str">
        <f t="shared" si="19"/>
        <v>rokwzgl=4 i lp=60000</v>
      </c>
      <c r="J57" s="19" t="str">
        <f t="shared" si="19"/>
        <v>rokwzgl=5 i lp=60000</v>
      </c>
      <c r="K57" s="19" t="str">
        <f t="shared" si="19"/>
        <v>rokwzgl=6 i lp=60000</v>
      </c>
      <c r="L57" s="19" t="str">
        <f t="shared" si="19"/>
        <v>rokwzgl=7 i lp=60000</v>
      </c>
      <c r="M57" s="19" t="str">
        <f t="shared" si="19"/>
        <v>rokwzgl=8 i lp=60000</v>
      </c>
      <c r="N57" s="19" t="str">
        <f t="shared" si="20"/>
        <v>rokwzgl=9 i lp=60000</v>
      </c>
      <c r="O57" s="19" t="str">
        <f t="shared" si="20"/>
        <v>rokwzgl=10 i lp=60000</v>
      </c>
      <c r="P57" s="19" t="str">
        <f t="shared" si="20"/>
        <v>rokwzgl=11 i lp=60000</v>
      </c>
      <c r="Q57" s="19" t="str">
        <f t="shared" si="20"/>
        <v>rokwzgl=12 i lp=60000</v>
      </c>
      <c r="R57" s="19" t="str">
        <f t="shared" si="20"/>
        <v>rokwzgl=13 i lp=60000</v>
      </c>
      <c r="S57" s="19" t="str">
        <f t="shared" si="20"/>
        <v>rokwzgl=14 i lp=60000</v>
      </c>
      <c r="T57" s="19" t="str">
        <f t="shared" si="20"/>
        <v>rokwzgl=15 i lp=60000</v>
      </c>
      <c r="U57" s="19" t="str">
        <f t="shared" si="20"/>
        <v>rokwzgl=16 i lp=60000</v>
      </c>
      <c r="V57" s="19" t="str">
        <f t="shared" si="20"/>
        <v>rokwzgl=17 i lp=60000</v>
      </c>
      <c r="W57" s="19" t="str">
        <f t="shared" si="20"/>
        <v>rokwzgl=18 i lp=60000</v>
      </c>
      <c r="X57" s="19" t="str">
        <f t="shared" si="18"/>
        <v>rokwzgl=19 i lp=60000</v>
      </c>
      <c r="Y57" s="19" t="str">
        <f t="shared" si="18"/>
        <v>rokwzgl=20 i lp=60000</v>
      </c>
      <c r="Z57" s="19" t="str">
        <f t="shared" si="18"/>
        <v>rokwzgl=21 i lp=60000</v>
      </c>
      <c r="AA57" s="19" t="str">
        <f t="shared" si="18"/>
        <v>rokwzgl=22 i lp=60000</v>
      </c>
      <c r="AB57" s="19" t="str">
        <f t="shared" si="18"/>
        <v>rokwzgl=23 i lp=60000</v>
      </c>
      <c r="AC57" s="19" t="str">
        <f t="shared" si="18"/>
        <v>rokwzgl=24 i lp=60000</v>
      </c>
      <c r="AD57" s="19" t="str">
        <f t="shared" si="18"/>
        <v>rokwzgl=25 i lp=60000</v>
      </c>
      <c r="AE57" s="19" t="str">
        <f t="shared" si="18"/>
        <v>rokwzgl=26 i lp=60000</v>
      </c>
      <c r="AF57" s="19" t="str">
        <f t="shared" si="18"/>
        <v>rokwzgl=27 i lp=60000</v>
      </c>
      <c r="AG57" s="19" t="str">
        <f t="shared" si="18"/>
        <v>rokwzgl=28 i lp=60000</v>
      </c>
      <c r="AH57" s="19" t="str">
        <f t="shared" si="18"/>
        <v>rokwzgl=29 i lp=60000</v>
      </c>
      <c r="AI57" s="19" t="str">
        <f t="shared" si="18"/>
        <v>rokwzgl=30 i lp=60000</v>
      </c>
      <c r="AJ57" s="19" t="str">
        <f t="shared" si="14"/>
        <v>rokwzgl=31 i lp=60000</v>
      </c>
      <c r="AK57" s="19" t="str">
        <f t="shared" si="14"/>
        <v>rokwzgl=32 i lp=60000</v>
      </c>
      <c r="AL57" s="19" t="str">
        <f t="shared" si="14"/>
        <v>rokwzgl=33 i lp=60000</v>
      </c>
      <c r="AM57" s="19" t="str">
        <f t="shared" si="14"/>
        <v>rokwzgl=34 i lp=60000</v>
      </c>
      <c r="AN57" s="19" t="str">
        <f t="shared" si="10"/>
        <v>rokwzgl=35 i lp=60000</v>
      </c>
      <c r="AO57" s="19" t="str">
        <f t="shared" si="10"/>
        <v>rokwzgl=36 i lp=60000</v>
      </c>
      <c r="AP57" s="19" t="str">
        <f t="shared" si="10"/>
        <v>rokwzgl=37 i lp=60000</v>
      </c>
      <c r="AQ57" s="19" t="str">
        <f t="shared" si="10"/>
        <v>rokwzgl=38 i lp=60000</v>
      </c>
      <c r="AR57" s="19" t="str">
        <f t="shared" si="10"/>
        <v>rokwzgl=39 i lp=60000</v>
      </c>
    </row>
    <row r="58" spans="1:44">
      <c r="A58" s="74">
        <v>61000</v>
      </c>
      <c r="B58" s="18" t="s">
        <v>61</v>
      </c>
      <c r="C58" s="19" t="s">
        <v>220</v>
      </c>
      <c r="D58" s="19" t="str">
        <f t="shared" si="19"/>
        <v>rokwzgl=0 i lp=61000</v>
      </c>
      <c r="E58" s="19" t="str">
        <f t="shared" si="19"/>
        <v>rokwzgl=0 i lp=61000</v>
      </c>
      <c r="F58" s="19" t="str">
        <f t="shared" si="19"/>
        <v>rokwzgl=1 i lp=61000</v>
      </c>
      <c r="G58" s="19" t="str">
        <f t="shared" si="19"/>
        <v>rokwzgl=2 i lp=61000</v>
      </c>
      <c r="H58" s="19" t="str">
        <f t="shared" si="19"/>
        <v>rokwzgl=3 i lp=61000</v>
      </c>
      <c r="I58" s="19" t="str">
        <f t="shared" si="19"/>
        <v>rokwzgl=4 i lp=61000</v>
      </c>
      <c r="J58" s="19" t="str">
        <f t="shared" si="19"/>
        <v>rokwzgl=5 i lp=61000</v>
      </c>
      <c r="K58" s="19" t="str">
        <f t="shared" si="19"/>
        <v>rokwzgl=6 i lp=61000</v>
      </c>
      <c r="L58" s="19" t="str">
        <f t="shared" si="19"/>
        <v>rokwzgl=7 i lp=61000</v>
      </c>
      <c r="M58" s="19" t="str">
        <f t="shared" si="19"/>
        <v>rokwzgl=8 i lp=61000</v>
      </c>
      <c r="N58" s="19" t="str">
        <f t="shared" si="20"/>
        <v>rokwzgl=9 i lp=61000</v>
      </c>
      <c r="O58" s="19" t="str">
        <f t="shared" si="20"/>
        <v>rokwzgl=10 i lp=61000</v>
      </c>
      <c r="P58" s="19" t="str">
        <f t="shared" si="20"/>
        <v>rokwzgl=11 i lp=61000</v>
      </c>
      <c r="Q58" s="19" t="str">
        <f t="shared" si="20"/>
        <v>rokwzgl=12 i lp=61000</v>
      </c>
      <c r="R58" s="19" t="str">
        <f t="shared" si="20"/>
        <v>rokwzgl=13 i lp=61000</v>
      </c>
      <c r="S58" s="19" t="str">
        <f t="shared" si="20"/>
        <v>rokwzgl=14 i lp=61000</v>
      </c>
      <c r="T58" s="19" t="str">
        <f t="shared" si="20"/>
        <v>rokwzgl=15 i lp=61000</v>
      </c>
      <c r="U58" s="19" t="str">
        <f t="shared" si="20"/>
        <v>rokwzgl=16 i lp=61000</v>
      </c>
      <c r="V58" s="19" t="str">
        <f t="shared" si="20"/>
        <v>rokwzgl=17 i lp=61000</v>
      </c>
      <c r="W58" s="19" t="str">
        <f t="shared" si="20"/>
        <v>rokwzgl=18 i lp=61000</v>
      </c>
      <c r="X58" s="19" t="str">
        <f t="shared" si="18"/>
        <v>rokwzgl=19 i lp=61000</v>
      </c>
      <c r="Y58" s="19" t="str">
        <f t="shared" si="18"/>
        <v>rokwzgl=20 i lp=61000</v>
      </c>
      <c r="Z58" s="19" t="str">
        <f t="shared" si="18"/>
        <v>rokwzgl=21 i lp=61000</v>
      </c>
      <c r="AA58" s="19" t="str">
        <f t="shared" si="18"/>
        <v>rokwzgl=22 i lp=61000</v>
      </c>
      <c r="AB58" s="19" t="str">
        <f t="shared" si="18"/>
        <v>rokwzgl=23 i lp=61000</v>
      </c>
      <c r="AC58" s="19" t="str">
        <f t="shared" si="18"/>
        <v>rokwzgl=24 i lp=61000</v>
      </c>
      <c r="AD58" s="19" t="str">
        <f t="shared" si="18"/>
        <v>rokwzgl=25 i lp=61000</v>
      </c>
      <c r="AE58" s="19" t="str">
        <f t="shared" si="18"/>
        <v>rokwzgl=26 i lp=61000</v>
      </c>
      <c r="AF58" s="19" t="str">
        <f t="shared" si="18"/>
        <v>rokwzgl=27 i lp=61000</v>
      </c>
      <c r="AG58" s="19" t="str">
        <f t="shared" si="18"/>
        <v>rokwzgl=28 i lp=61000</v>
      </c>
      <c r="AH58" s="19" t="str">
        <f t="shared" si="18"/>
        <v>rokwzgl=29 i lp=61000</v>
      </c>
      <c r="AI58" s="19" t="str">
        <f t="shared" si="18"/>
        <v>rokwzgl=30 i lp=61000</v>
      </c>
      <c r="AJ58" s="19" t="str">
        <f t="shared" si="14"/>
        <v>rokwzgl=31 i lp=61000</v>
      </c>
      <c r="AK58" s="19" t="str">
        <f t="shared" si="14"/>
        <v>rokwzgl=32 i lp=61000</v>
      </c>
      <c r="AL58" s="19" t="str">
        <f t="shared" si="14"/>
        <v>rokwzgl=33 i lp=61000</v>
      </c>
      <c r="AM58" s="19" t="str">
        <f t="shared" si="14"/>
        <v>rokwzgl=34 i lp=61000</v>
      </c>
      <c r="AN58" s="19" t="str">
        <f t="shared" si="10"/>
        <v>rokwzgl=35 i lp=61000</v>
      </c>
      <c r="AO58" s="19" t="str">
        <f t="shared" si="10"/>
        <v>rokwzgl=36 i lp=61000</v>
      </c>
      <c r="AP58" s="19" t="str">
        <f t="shared" si="10"/>
        <v>rokwzgl=37 i lp=61000</v>
      </c>
      <c r="AQ58" s="19" t="str">
        <f t="shared" si="10"/>
        <v>rokwzgl=38 i lp=61000</v>
      </c>
      <c r="AR58" s="19" t="str">
        <f t="shared" si="10"/>
        <v>rokwzgl=39 i lp=61000</v>
      </c>
    </row>
    <row r="59" spans="1:44">
      <c r="A59" s="74">
        <v>70000</v>
      </c>
      <c r="B59" s="18">
        <v>7</v>
      </c>
      <c r="C59" s="19" t="s">
        <v>62</v>
      </c>
      <c r="D59" s="19" t="str">
        <f t="shared" si="19"/>
        <v>rokwzgl=0 i lp=70000</v>
      </c>
      <c r="E59" s="19" t="str">
        <f t="shared" si="19"/>
        <v>rokwzgl=0 i lp=70000</v>
      </c>
      <c r="F59" s="19" t="str">
        <f t="shared" si="19"/>
        <v>rokwzgl=1 i lp=70000</v>
      </c>
      <c r="G59" s="19" t="str">
        <f t="shared" si="19"/>
        <v>rokwzgl=2 i lp=70000</v>
      </c>
      <c r="H59" s="19" t="str">
        <f t="shared" si="19"/>
        <v>rokwzgl=3 i lp=70000</v>
      </c>
      <c r="I59" s="19" t="str">
        <f t="shared" si="19"/>
        <v>rokwzgl=4 i lp=70000</v>
      </c>
      <c r="J59" s="19" t="str">
        <f t="shared" si="19"/>
        <v>rokwzgl=5 i lp=70000</v>
      </c>
      <c r="K59" s="19" t="str">
        <f t="shared" si="19"/>
        <v>rokwzgl=6 i lp=70000</v>
      </c>
      <c r="L59" s="19" t="str">
        <f t="shared" si="19"/>
        <v>rokwzgl=7 i lp=70000</v>
      </c>
      <c r="M59" s="19" t="str">
        <f t="shared" si="19"/>
        <v>rokwzgl=8 i lp=70000</v>
      </c>
      <c r="N59" s="19" t="str">
        <f t="shared" si="20"/>
        <v>rokwzgl=9 i lp=70000</v>
      </c>
      <c r="O59" s="19" t="str">
        <f t="shared" si="20"/>
        <v>rokwzgl=10 i lp=70000</v>
      </c>
      <c r="P59" s="19" t="str">
        <f t="shared" si="20"/>
        <v>rokwzgl=11 i lp=70000</v>
      </c>
      <c r="Q59" s="19" t="str">
        <f t="shared" si="20"/>
        <v>rokwzgl=12 i lp=70000</v>
      </c>
      <c r="R59" s="19" t="str">
        <f t="shared" si="20"/>
        <v>rokwzgl=13 i lp=70000</v>
      </c>
      <c r="S59" s="19" t="str">
        <f t="shared" si="20"/>
        <v>rokwzgl=14 i lp=70000</v>
      </c>
      <c r="T59" s="19" t="str">
        <f t="shared" si="20"/>
        <v>rokwzgl=15 i lp=70000</v>
      </c>
      <c r="U59" s="19" t="str">
        <f t="shared" si="20"/>
        <v>rokwzgl=16 i lp=70000</v>
      </c>
      <c r="V59" s="19" t="str">
        <f t="shared" si="20"/>
        <v>rokwzgl=17 i lp=70000</v>
      </c>
      <c r="W59" s="19" t="str">
        <f t="shared" si="20"/>
        <v>rokwzgl=18 i lp=70000</v>
      </c>
      <c r="X59" s="19" t="str">
        <f t="shared" si="18"/>
        <v>rokwzgl=19 i lp=70000</v>
      </c>
      <c r="Y59" s="19" t="str">
        <f t="shared" si="18"/>
        <v>rokwzgl=20 i lp=70000</v>
      </c>
      <c r="Z59" s="19" t="str">
        <f t="shared" si="18"/>
        <v>rokwzgl=21 i lp=70000</v>
      </c>
      <c r="AA59" s="19" t="str">
        <f t="shared" si="18"/>
        <v>rokwzgl=22 i lp=70000</v>
      </c>
      <c r="AB59" s="19" t="str">
        <f t="shared" si="18"/>
        <v>rokwzgl=23 i lp=70000</v>
      </c>
      <c r="AC59" s="19" t="str">
        <f t="shared" si="18"/>
        <v>rokwzgl=24 i lp=70000</v>
      </c>
      <c r="AD59" s="19" t="str">
        <f t="shared" si="18"/>
        <v>rokwzgl=25 i lp=70000</v>
      </c>
      <c r="AE59" s="19" t="str">
        <f t="shared" si="18"/>
        <v>rokwzgl=26 i lp=70000</v>
      </c>
      <c r="AF59" s="19" t="str">
        <f t="shared" si="18"/>
        <v>rokwzgl=27 i lp=70000</v>
      </c>
      <c r="AG59" s="19" t="str">
        <f t="shared" si="18"/>
        <v>rokwzgl=28 i lp=70000</v>
      </c>
      <c r="AH59" s="19" t="str">
        <f t="shared" si="18"/>
        <v>rokwzgl=29 i lp=70000</v>
      </c>
      <c r="AI59" s="19" t="str">
        <f t="shared" si="18"/>
        <v>rokwzgl=30 i lp=70000</v>
      </c>
      <c r="AJ59" s="19" t="str">
        <f t="shared" ref="AJ59:AM78" si="21">+"rokwzgl="&amp;AJ$9&amp;" i lp="&amp;$A59</f>
        <v>rokwzgl=31 i lp=70000</v>
      </c>
      <c r="AK59" s="19" t="str">
        <f t="shared" si="21"/>
        <v>rokwzgl=32 i lp=70000</v>
      </c>
      <c r="AL59" s="19" t="str">
        <f t="shared" si="21"/>
        <v>rokwzgl=33 i lp=70000</v>
      </c>
      <c r="AM59" s="19" t="str">
        <f t="shared" si="21"/>
        <v>rokwzgl=34 i lp=70000</v>
      </c>
      <c r="AN59" s="19" t="str">
        <f t="shared" si="10"/>
        <v>rokwzgl=35 i lp=70000</v>
      </c>
      <c r="AO59" s="19" t="str">
        <f t="shared" si="10"/>
        <v>rokwzgl=36 i lp=70000</v>
      </c>
      <c r="AP59" s="19" t="str">
        <f t="shared" si="10"/>
        <v>rokwzgl=37 i lp=70000</v>
      </c>
      <c r="AQ59" s="19" t="str">
        <f t="shared" si="10"/>
        <v>rokwzgl=38 i lp=70000</v>
      </c>
      <c r="AR59" s="19" t="str">
        <f t="shared" si="10"/>
        <v>rokwzgl=39 i lp=70000</v>
      </c>
    </row>
    <row r="60" spans="1:44">
      <c r="A60" s="74">
        <v>71000</v>
      </c>
      <c r="B60" s="18" t="s">
        <v>301</v>
      </c>
      <c r="C60" s="19" t="s">
        <v>221</v>
      </c>
      <c r="D60" s="19" t="str">
        <f t="shared" si="19"/>
        <v>rokwzgl=0 i lp=71000</v>
      </c>
      <c r="E60" s="19" t="str">
        <f t="shared" si="19"/>
        <v>rokwzgl=0 i lp=71000</v>
      </c>
      <c r="F60" s="19" t="str">
        <f t="shared" si="19"/>
        <v>rokwzgl=1 i lp=71000</v>
      </c>
      <c r="G60" s="19" t="str">
        <f t="shared" si="19"/>
        <v>rokwzgl=2 i lp=71000</v>
      </c>
      <c r="H60" s="19" t="str">
        <f t="shared" si="19"/>
        <v>rokwzgl=3 i lp=71000</v>
      </c>
      <c r="I60" s="19" t="str">
        <f t="shared" si="19"/>
        <v>rokwzgl=4 i lp=71000</v>
      </c>
      <c r="J60" s="19" t="str">
        <f t="shared" si="19"/>
        <v>rokwzgl=5 i lp=71000</v>
      </c>
      <c r="K60" s="19" t="str">
        <f t="shared" si="19"/>
        <v>rokwzgl=6 i lp=71000</v>
      </c>
      <c r="L60" s="19" t="str">
        <f t="shared" si="19"/>
        <v>rokwzgl=7 i lp=71000</v>
      </c>
      <c r="M60" s="19" t="str">
        <f t="shared" si="19"/>
        <v>rokwzgl=8 i lp=71000</v>
      </c>
      <c r="N60" s="19" t="str">
        <f t="shared" si="20"/>
        <v>rokwzgl=9 i lp=71000</v>
      </c>
      <c r="O60" s="19" t="str">
        <f t="shared" si="20"/>
        <v>rokwzgl=10 i lp=71000</v>
      </c>
      <c r="P60" s="19" t="str">
        <f t="shared" si="20"/>
        <v>rokwzgl=11 i lp=71000</v>
      </c>
      <c r="Q60" s="19" t="str">
        <f t="shared" si="20"/>
        <v>rokwzgl=12 i lp=71000</v>
      </c>
      <c r="R60" s="19" t="str">
        <f t="shared" si="20"/>
        <v>rokwzgl=13 i lp=71000</v>
      </c>
      <c r="S60" s="19" t="str">
        <f t="shared" si="20"/>
        <v>rokwzgl=14 i lp=71000</v>
      </c>
      <c r="T60" s="19" t="str">
        <f t="shared" si="20"/>
        <v>rokwzgl=15 i lp=71000</v>
      </c>
      <c r="U60" s="19" t="str">
        <f t="shared" si="20"/>
        <v>rokwzgl=16 i lp=71000</v>
      </c>
      <c r="V60" s="19" t="str">
        <f t="shared" si="20"/>
        <v>rokwzgl=17 i lp=71000</v>
      </c>
      <c r="W60" s="19" t="str">
        <f t="shared" si="20"/>
        <v>rokwzgl=18 i lp=71000</v>
      </c>
      <c r="X60" s="19" t="str">
        <f t="shared" ref="X60:AI69" si="22">+"rokwzgl="&amp;X$9&amp;" i lp="&amp;$A60</f>
        <v>rokwzgl=19 i lp=71000</v>
      </c>
      <c r="Y60" s="19" t="str">
        <f t="shared" si="22"/>
        <v>rokwzgl=20 i lp=71000</v>
      </c>
      <c r="Z60" s="19" t="str">
        <f t="shared" si="22"/>
        <v>rokwzgl=21 i lp=71000</v>
      </c>
      <c r="AA60" s="19" t="str">
        <f t="shared" si="22"/>
        <v>rokwzgl=22 i lp=71000</v>
      </c>
      <c r="AB60" s="19" t="str">
        <f t="shared" si="22"/>
        <v>rokwzgl=23 i lp=71000</v>
      </c>
      <c r="AC60" s="19" t="str">
        <f t="shared" si="22"/>
        <v>rokwzgl=24 i lp=71000</v>
      </c>
      <c r="AD60" s="19" t="str">
        <f t="shared" si="22"/>
        <v>rokwzgl=25 i lp=71000</v>
      </c>
      <c r="AE60" s="19" t="str">
        <f t="shared" si="22"/>
        <v>rokwzgl=26 i lp=71000</v>
      </c>
      <c r="AF60" s="19" t="str">
        <f t="shared" si="22"/>
        <v>rokwzgl=27 i lp=71000</v>
      </c>
      <c r="AG60" s="19" t="str">
        <f t="shared" si="22"/>
        <v>rokwzgl=28 i lp=71000</v>
      </c>
      <c r="AH60" s="19" t="str">
        <f t="shared" si="22"/>
        <v>rokwzgl=29 i lp=71000</v>
      </c>
      <c r="AI60" s="19" t="str">
        <f t="shared" si="22"/>
        <v>rokwzgl=30 i lp=71000</v>
      </c>
      <c r="AJ60" s="19" t="str">
        <f t="shared" si="21"/>
        <v>rokwzgl=31 i lp=71000</v>
      </c>
      <c r="AK60" s="19" t="str">
        <f t="shared" si="21"/>
        <v>rokwzgl=32 i lp=71000</v>
      </c>
      <c r="AL60" s="19" t="str">
        <f t="shared" si="21"/>
        <v>rokwzgl=33 i lp=71000</v>
      </c>
      <c r="AM60" s="19" t="str">
        <f t="shared" si="21"/>
        <v>rokwzgl=34 i lp=71000</v>
      </c>
      <c r="AN60" s="19" t="str">
        <f t="shared" si="10"/>
        <v>rokwzgl=35 i lp=71000</v>
      </c>
      <c r="AO60" s="19" t="str">
        <f t="shared" si="10"/>
        <v>rokwzgl=36 i lp=71000</v>
      </c>
      <c r="AP60" s="19" t="str">
        <f t="shared" si="10"/>
        <v>rokwzgl=37 i lp=71000</v>
      </c>
      <c r="AQ60" s="19" t="str">
        <f t="shared" si="10"/>
        <v>rokwzgl=38 i lp=71000</v>
      </c>
      <c r="AR60" s="19" t="str">
        <f t="shared" si="10"/>
        <v>rokwzgl=39 i lp=71000</v>
      </c>
    </row>
    <row r="61" spans="1:44">
      <c r="A61" s="74">
        <v>72000</v>
      </c>
      <c r="B61" s="18" t="s">
        <v>302</v>
      </c>
      <c r="C61" s="19" t="s">
        <v>222</v>
      </c>
      <c r="D61" s="19" t="str">
        <f t="shared" si="19"/>
        <v>rokwzgl=0 i lp=72000</v>
      </c>
      <c r="E61" s="19" t="str">
        <f t="shared" si="19"/>
        <v>rokwzgl=0 i lp=72000</v>
      </c>
      <c r="F61" s="19" t="str">
        <f t="shared" si="19"/>
        <v>rokwzgl=1 i lp=72000</v>
      </c>
      <c r="G61" s="19" t="str">
        <f t="shared" si="19"/>
        <v>rokwzgl=2 i lp=72000</v>
      </c>
      <c r="H61" s="19" t="str">
        <f t="shared" si="19"/>
        <v>rokwzgl=3 i lp=72000</v>
      </c>
      <c r="I61" s="19" t="str">
        <f t="shared" si="19"/>
        <v>rokwzgl=4 i lp=72000</v>
      </c>
      <c r="J61" s="19" t="str">
        <f t="shared" si="19"/>
        <v>rokwzgl=5 i lp=72000</v>
      </c>
      <c r="K61" s="19" t="str">
        <f t="shared" si="19"/>
        <v>rokwzgl=6 i lp=72000</v>
      </c>
      <c r="L61" s="19" t="str">
        <f t="shared" si="19"/>
        <v>rokwzgl=7 i lp=72000</v>
      </c>
      <c r="M61" s="19" t="str">
        <f t="shared" si="19"/>
        <v>rokwzgl=8 i lp=72000</v>
      </c>
      <c r="N61" s="19" t="str">
        <f t="shared" si="20"/>
        <v>rokwzgl=9 i lp=72000</v>
      </c>
      <c r="O61" s="19" t="str">
        <f t="shared" si="20"/>
        <v>rokwzgl=10 i lp=72000</v>
      </c>
      <c r="P61" s="19" t="str">
        <f t="shared" si="20"/>
        <v>rokwzgl=11 i lp=72000</v>
      </c>
      <c r="Q61" s="19" t="str">
        <f t="shared" si="20"/>
        <v>rokwzgl=12 i lp=72000</v>
      </c>
      <c r="R61" s="19" t="str">
        <f t="shared" si="20"/>
        <v>rokwzgl=13 i lp=72000</v>
      </c>
      <c r="S61" s="19" t="str">
        <f t="shared" si="20"/>
        <v>rokwzgl=14 i lp=72000</v>
      </c>
      <c r="T61" s="19" t="str">
        <f t="shared" si="20"/>
        <v>rokwzgl=15 i lp=72000</v>
      </c>
      <c r="U61" s="19" t="str">
        <f t="shared" si="20"/>
        <v>rokwzgl=16 i lp=72000</v>
      </c>
      <c r="V61" s="19" t="str">
        <f t="shared" si="20"/>
        <v>rokwzgl=17 i lp=72000</v>
      </c>
      <c r="W61" s="19" t="str">
        <f t="shared" si="20"/>
        <v>rokwzgl=18 i lp=72000</v>
      </c>
      <c r="X61" s="19" t="str">
        <f t="shared" si="22"/>
        <v>rokwzgl=19 i lp=72000</v>
      </c>
      <c r="Y61" s="19" t="str">
        <f t="shared" si="22"/>
        <v>rokwzgl=20 i lp=72000</v>
      </c>
      <c r="Z61" s="19" t="str">
        <f t="shared" si="22"/>
        <v>rokwzgl=21 i lp=72000</v>
      </c>
      <c r="AA61" s="19" t="str">
        <f t="shared" si="22"/>
        <v>rokwzgl=22 i lp=72000</v>
      </c>
      <c r="AB61" s="19" t="str">
        <f t="shared" si="22"/>
        <v>rokwzgl=23 i lp=72000</v>
      </c>
      <c r="AC61" s="19" t="str">
        <f t="shared" si="22"/>
        <v>rokwzgl=24 i lp=72000</v>
      </c>
      <c r="AD61" s="19" t="str">
        <f t="shared" si="22"/>
        <v>rokwzgl=25 i lp=72000</v>
      </c>
      <c r="AE61" s="19" t="str">
        <f t="shared" si="22"/>
        <v>rokwzgl=26 i lp=72000</v>
      </c>
      <c r="AF61" s="19" t="str">
        <f t="shared" si="22"/>
        <v>rokwzgl=27 i lp=72000</v>
      </c>
      <c r="AG61" s="19" t="str">
        <f t="shared" si="22"/>
        <v>rokwzgl=28 i lp=72000</v>
      </c>
      <c r="AH61" s="19" t="str">
        <f t="shared" si="22"/>
        <v>rokwzgl=29 i lp=72000</v>
      </c>
      <c r="AI61" s="19" t="str">
        <f t="shared" si="22"/>
        <v>rokwzgl=30 i lp=72000</v>
      </c>
      <c r="AJ61" s="19" t="str">
        <f t="shared" si="21"/>
        <v>rokwzgl=31 i lp=72000</v>
      </c>
      <c r="AK61" s="19" t="str">
        <f t="shared" si="21"/>
        <v>rokwzgl=32 i lp=72000</v>
      </c>
      <c r="AL61" s="19" t="str">
        <f t="shared" si="21"/>
        <v>rokwzgl=33 i lp=72000</v>
      </c>
      <c r="AM61" s="19" t="str">
        <f t="shared" si="21"/>
        <v>rokwzgl=34 i lp=72000</v>
      </c>
      <c r="AN61" s="19" t="str">
        <f t="shared" si="10"/>
        <v>rokwzgl=35 i lp=72000</v>
      </c>
      <c r="AO61" s="19" t="str">
        <f t="shared" si="10"/>
        <v>rokwzgl=36 i lp=72000</v>
      </c>
      <c r="AP61" s="19" t="str">
        <f t="shared" si="10"/>
        <v>rokwzgl=37 i lp=72000</v>
      </c>
      <c r="AQ61" s="19" t="str">
        <f t="shared" si="10"/>
        <v>rokwzgl=38 i lp=72000</v>
      </c>
      <c r="AR61" s="19" t="str">
        <f t="shared" si="10"/>
        <v>rokwzgl=39 i lp=72000</v>
      </c>
    </row>
    <row r="62" spans="1:44">
      <c r="A62" s="74">
        <v>80000</v>
      </c>
      <c r="B62" s="18">
        <v>8</v>
      </c>
      <c r="C62" s="19" t="s">
        <v>65</v>
      </c>
      <c r="D62" s="19" t="str">
        <f t="shared" si="19"/>
        <v>rokwzgl=0 i lp=80000</v>
      </c>
      <c r="E62" s="19" t="str">
        <f t="shared" si="19"/>
        <v>rokwzgl=0 i lp=80000</v>
      </c>
      <c r="F62" s="19" t="str">
        <f t="shared" si="19"/>
        <v>rokwzgl=1 i lp=80000</v>
      </c>
      <c r="G62" s="19" t="str">
        <f t="shared" si="19"/>
        <v>rokwzgl=2 i lp=80000</v>
      </c>
      <c r="H62" s="19" t="str">
        <f t="shared" si="19"/>
        <v>rokwzgl=3 i lp=80000</v>
      </c>
      <c r="I62" s="19" t="str">
        <f t="shared" si="19"/>
        <v>rokwzgl=4 i lp=80000</v>
      </c>
      <c r="J62" s="19" t="str">
        <f t="shared" si="19"/>
        <v>rokwzgl=5 i lp=80000</v>
      </c>
      <c r="K62" s="19" t="str">
        <f t="shared" si="19"/>
        <v>rokwzgl=6 i lp=80000</v>
      </c>
      <c r="L62" s="19" t="str">
        <f t="shared" si="19"/>
        <v>rokwzgl=7 i lp=80000</v>
      </c>
      <c r="M62" s="19" t="str">
        <f t="shared" si="19"/>
        <v>rokwzgl=8 i lp=80000</v>
      </c>
      <c r="N62" s="19" t="str">
        <f t="shared" si="20"/>
        <v>rokwzgl=9 i lp=80000</v>
      </c>
      <c r="O62" s="19" t="str">
        <f t="shared" si="20"/>
        <v>rokwzgl=10 i lp=80000</v>
      </c>
      <c r="P62" s="19" t="str">
        <f t="shared" si="20"/>
        <v>rokwzgl=11 i lp=80000</v>
      </c>
      <c r="Q62" s="19" t="str">
        <f t="shared" si="20"/>
        <v>rokwzgl=12 i lp=80000</v>
      </c>
      <c r="R62" s="19" t="str">
        <f t="shared" si="20"/>
        <v>rokwzgl=13 i lp=80000</v>
      </c>
      <c r="S62" s="19" t="str">
        <f t="shared" si="20"/>
        <v>rokwzgl=14 i lp=80000</v>
      </c>
      <c r="T62" s="19" t="str">
        <f t="shared" si="20"/>
        <v>rokwzgl=15 i lp=80000</v>
      </c>
      <c r="U62" s="19" t="str">
        <f t="shared" si="20"/>
        <v>rokwzgl=16 i lp=80000</v>
      </c>
      <c r="V62" s="19" t="str">
        <f t="shared" si="20"/>
        <v>rokwzgl=17 i lp=80000</v>
      </c>
      <c r="W62" s="19" t="str">
        <f t="shared" si="20"/>
        <v>rokwzgl=18 i lp=80000</v>
      </c>
      <c r="X62" s="19" t="str">
        <f t="shared" si="22"/>
        <v>rokwzgl=19 i lp=80000</v>
      </c>
      <c r="Y62" s="19" t="str">
        <f t="shared" si="22"/>
        <v>rokwzgl=20 i lp=80000</v>
      </c>
      <c r="Z62" s="19" t="str">
        <f t="shared" si="22"/>
        <v>rokwzgl=21 i lp=80000</v>
      </c>
      <c r="AA62" s="19" t="str">
        <f t="shared" si="22"/>
        <v>rokwzgl=22 i lp=80000</v>
      </c>
      <c r="AB62" s="19" t="str">
        <f t="shared" si="22"/>
        <v>rokwzgl=23 i lp=80000</v>
      </c>
      <c r="AC62" s="19" t="str">
        <f t="shared" si="22"/>
        <v>rokwzgl=24 i lp=80000</v>
      </c>
      <c r="AD62" s="19" t="str">
        <f t="shared" si="22"/>
        <v>rokwzgl=25 i lp=80000</v>
      </c>
      <c r="AE62" s="19" t="str">
        <f t="shared" si="22"/>
        <v>rokwzgl=26 i lp=80000</v>
      </c>
      <c r="AF62" s="19" t="str">
        <f t="shared" si="22"/>
        <v>rokwzgl=27 i lp=80000</v>
      </c>
      <c r="AG62" s="19" t="str">
        <f t="shared" si="22"/>
        <v>rokwzgl=28 i lp=80000</v>
      </c>
      <c r="AH62" s="19" t="str">
        <f t="shared" si="22"/>
        <v>rokwzgl=29 i lp=80000</v>
      </c>
      <c r="AI62" s="19" t="str">
        <f t="shared" si="22"/>
        <v>rokwzgl=30 i lp=80000</v>
      </c>
      <c r="AJ62" s="19" t="str">
        <f t="shared" si="21"/>
        <v>rokwzgl=31 i lp=80000</v>
      </c>
      <c r="AK62" s="19" t="str">
        <f t="shared" si="21"/>
        <v>rokwzgl=32 i lp=80000</v>
      </c>
      <c r="AL62" s="19" t="str">
        <f t="shared" si="21"/>
        <v>rokwzgl=33 i lp=80000</v>
      </c>
      <c r="AM62" s="19" t="str">
        <f t="shared" si="21"/>
        <v>rokwzgl=34 i lp=80000</v>
      </c>
      <c r="AN62" s="19" t="str">
        <f t="shared" si="10"/>
        <v>rokwzgl=35 i lp=80000</v>
      </c>
      <c r="AO62" s="19" t="str">
        <f t="shared" si="10"/>
        <v>rokwzgl=36 i lp=80000</v>
      </c>
      <c r="AP62" s="19" t="str">
        <f t="shared" si="10"/>
        <v>rokwzgl=37 i lp=80000</v>
      </c>
      <c r="AQ62" s="19" t="str">
        <f t="shared" si="10"/>
        <v>rokwzgl=38 i lp=80000</v>
      </c>
      <c r="AR62" s="19" t="str">
        <f t="shared" si="10"/>
        <v>rokwzgl=39 i lp=80000</v>
      </c>
    </row>
    <row r="63" spans="1:44">
      <c r="A63" s="74">
        <v>81000</v>
      </c>
      <c r="B63" s="18" t="s">
        <v>63</v>
      </c>
      <c r="C63" s="19" t="s">
        <v>223</v>
      </c>
      <c r="D63" s="19" t="str">
        <f t="shared" si="19"/>
        <v>rokwzgl=0 i lp=81000</v>
      </c>
      <c r="E63" s="19" t="str">
        <f t="shared" si="19"/>
        <v>rokwzgl=0 i lp=81000</v>
      </c>
      <c r="F63" s="19" t="str">
        <f t="shared" si="19"/>
        <v>rokwzgl=1 i lp=81000</v>
      </c>
      <c r="G63" s="19" t="str">
        <f t="shared" si="19"/>
        <v>rokwzgl=2 i lp=81000</v>
      </c>
      <c r="H63" s="19" t="str">
        <f t="shared" si="19"/>
        <v>rokwzgl=3 i lp=81000</v>
      </c>
      <c r="I63" s="19" t="str">
        <f t="shared" si="19"/>
        <v>rokwzgl=4 i lp=81000</v>
      </c>
      <c r="J63" s="19" t="str">
        <f t="shared" si="19"/>
        <v>rokwzgl=5 i lp=81000</v>
      </c>
      <c r="K63" s="19" t="str">
        <f t="shared" si="19"/>
        <v>rokwzgl=6 i lp=81000</v>
      </c>
      <c r="L63" s="19" t="str">
        <f t="shared" si="19"/>
        <v>rokwzgl=7 i lp=81000</v>
      </c>
      <c r="M63" s="19" t="str">
        <f t="shared" si="19"/>
        <v>rokwzgl=8 i lp=81000</v>
      </c>
      <c r="N63" s="19" t="str">
        <f t="shared" si="20"/>
        <v>rokwzgl=9 i lp=81000</v>
      </c>
      <c r="O63" s="19" t="str">
        <f t="shared" si="20"/>
        <v>rokwzgl=10 i lp=81000</v>
      </c>
      <c r="P63" s="19" t="str">
        <f t="shared" si="20"/>
        <v>rokwzgl=11 i lp=81000</v>
      </c>
      <c r="Q63" s="19" t="str">
        <f t="shared" si="20"/>
        <v>rokwzgl=12 i lp=81000</v>
      </c>
      <c r="R63" s="19" t="str">
        <f t="shared" si="20"/>
        <v>rokwzgl=13 i lp=81000</v>
      </c>
      <c r="S63" s="19" t="str">
        <f t="shared" si="20"/>
        <v>rokwzgl=14 i lp=81000</v>
      </c>
      <c r="T63" s="19" t="str">
        <f t="shared" si="20"/>
        <v>rokwzgl=15 i lp=81000</v>
      </c>
      <c r="U63" s="19" t="str">
        <f t="shared" si="20"/>
        <v>rokwzgl=16 i lp=81000</v>
      </c>
      <c r="V63" s="19" t="str">
        <f t="shared" si="20"/>
        <v>rokwzgl=17 i lp=81000</v>
      </c>
      <c r="W63" s="19" t="str">
        <f t="shared" si="20"/>
        <v>rokwzgl=18 i lp=81000</v>
      </c>
      <c r="X63" s="19" t="str">
        <f t="shared" si="22"/>
        <v>rokwzgl=19 i lp=81000</v>
      </c>
      <c r="Y63" s="19" t="str">
        <f t="shared" si="22"/>
        <v>rokwzgl=20 i lp=81000</v>
      </c>
      <c r="Z63" s="19" t="str">
        <f t="shared" si="22"/>
        <v>rokwzgl=21 i lp=81000</v>
      </c>
      <c r="AA63" s="19" t="str">
        <f t="shared" si="22"/>
        <v>rokwzgl=22 i lp=81000</v>
      </c>
      <c r="AB63" s="19" t="str">
        <f t="shared" si="22"/>
        <v>rokwzgl=23 i lp=81000</v>
      </c>
      <c r="AC63" s="19" t="str">
        <f t="shared" si="22"/>
        <v>rokwzgl=24 i lp=81000</v>
      </c>
      <c r="AD63" s="19" t="str">
        <f t="shared" si="22"/>
        <v>rokwzgl=25 i lp=81000</v>
      </c>
      <c r="AE63" s="19" t="str">
        <f t="shared" si="22"/>
        <v>rokwzgl=26 i lp=81000</v>
      </c>
      <c r="AF63" s="19" t="str">
        <f t="shared" si="22"/>
        <v>rokwzgl=27 i lp=81000</v>
      </c>
      <c r="AG63" s="19" t="str">
        <f t="shared" si="22"/>
        <v>rokwzgl=28 i lp=81000</v>
      </c>
      <c r="AH63" s="19" t="str">
        <f t="shared" si="22"/>
        <v>rokwzgl=29 i lp=81000</v>
      </c>
      <c r="AI63" s="19" t="str">
        <f t="shared" si="22"/>
        <v>rokwzgl=30 i lp=81000</v>
      </c>
      <c r="AJ63" s="19" t="str">
        <f t="shared" si="21"/>
        <v>rokwzgl=31 i lp=81000</v>
      </c>
      <c r="AK63" s="19" t="str">
        <f t="shared" si="21"/>
        <v>rokwzgl=32 i lp=81000</v>
      </c>
      <c r="AL63" s="19" t="str">
        <f t="shared" si="21"/>
        <v>rokwzgl=33 i lp=81000</v>
      </c>
      <c r="AM63" s="19" t="str">
        <f t="shared" si="21"/>
        <v>rokwzgl=34 i lp=81000</v>
      </c>
      <c r="AN63" s="19" t="str">
        <f t="shared" si="10"/>
        <v>rokwzgl=35 i lp=81000</v>
      </c>
      <c r="AO63" s="19" t="str">
        <f t="shared" si="10"/>
        <v>rokwzgl=36 i lp=81000</v>
      </c>
      <c r="AP63" s="19" t="str">
        <f t="shared" si="10"/>
        <v>rokwzgl=37 i lp=81000</v>
      </c>
      <c r="AQ63" s="19" t="str">
        <f t="shared" si="10"/>
        <v>rokwzgl=38 i lp=81000</v>
      </c>
      <c r="AR63" s="19" t="str">
        <f t="shared" si="10"/>
        <v>rokwzgl=39 i lp=81000</v>
      </c>
    </row>
    <row r="64" spans="1:44">
      <c r="A64" s="74">
        <v>81220</v>
      </c>
      <c r="B64" s="18" t="s">
        <v>277</v>
      </c>
      <c r="C64" s="19" t="s">
        <v>224</v>
      </c>
      <c r="D64" s="19" t="str">
        <f t="shared" si="19"/>
        <v>rokwzgl=0 i lp=81220</v>
      </c>
      <c r="E64" s="19" t="str">
        <f t="shared" si="19"/>
        <v>rokwzgl=0 i lp=81220</v>
      </c>
      <c r="F64" s="19" t="str">
        <f t="shared" si="19"/>
        <v>rokwzgl=1 i lp=81220</v>
      </c>
      <c r="G64" s="19" t="str">
        <f t="shared" si="19"/>
        <v>rokwzgl=2 i lp=81220</v>
      </c>
      <c r="H64" s="19" t="str">
        <f t="shared" si="19"/>
        <v>rokwzgl=3 i lp=81220</v>
      </c>
      <c r="I64" s="19" t="str">
        <f t="shared" si="19"/>
        <v>rokwzgl=4 i lp=81220</v>
      </c>
      <c r="J64" s="19" t="str">
        <f t="shared" si="19"/>
        <v>rokwzgl=5 i lp=81220</v>
      </c>
      <c r="K64" s="19" t="str">
        <f t="shared" si="19"/>
        <v>rokwzgl=6 i lp=81220</v>
      </c>
      <c r="L64" s="19" t="str">
        <f t="shared" si="19"/>
        <v>rokwzgl=7 i lp=81220</v>
      </c>
      <c r="M64" s="19" t="str">
        <f t="shared" si="19"/>
        <v>rokwzgl=8 i lp=81220</v>
      </c>
      <c r="N64" s="19" t="str">
        <f t="shared" si="20"/>
        <v>rokwzgl=9 i lp=81220</v>
      </c>
      <c r="O64" s="19" t="str">
        <f t="shared" si="20"/>
        <v>rokwzgl=10 i lp=81220</v>
      </c>
      <c r="P64" s="19" t="str">
        <f t="shared" si="20"/>
        <v>rokwzgl=11 i lp=81220</v>
      </c>
      <c r="Q64" s="19" t="str">
        <f t="shared" si="20"/>
        <v>rokwzgl=12 i lp=81220</v>
      </c>
      <c r="R64" s="19" t="str">
        <f t="shared" si="20"/>
        <v>rokwzgl=13 i lp=81220</v>
      </c>
      <c r="S64" s="19" t="str">
        <f t="shared" si="20"/>
        <v>rokwzgl=14 i lp=81220</v>
      </c>
      <c r="T64" s="19" t="str">
        <f t="shared" si="20"/>
        <v>rokwzgl=15 i lp=81220</v>
      </c>
      <c r="U64" s="19" t="str">
        <f t="shared" si="20"/>
        <v>rokwzgl=16 i lp=81220</v>
      </c>
      <c r="V64" s="19" t="str">
        <f t="shared" si="20"/>
        <v>rokwzgl=17 i lp=81220</v>
      </c>
      <c r="W64" s="19" t="str">
        <f t="shared" si="20"/>
        <v>rokwzgl=18 i lp=81220</v>
      </c>
      <c r="X64" s="19" t="str">
        <f t="shared" si="22"/>
        <v>rokwzgl=19 i lp=81220</v>
      </c>
      <c r="Y64" s="19" t="str">
        <f t="shared" si="22"/>
        <v>rokwzgl=20 i lp=81220</v>
      </c>
      <c r="Z64" s="19" t="str">
        <f t="shared" si="22"/>
        <v>rokwzgl=21 i lp=81220</v>
      </c>
      <c r="AA64" s="19" t="str">
        <f t="shared" si="22"/>
        <v>rokwzgl=22 i lp=81220</v>
      </c>
      <c r="AB64" s="19" t="str">
        <f t="shared" si="22"/>
        <v>rokwzgl=23 i lp=81220</v>
      </c>
      <c r="AC64" s="19" t="str">
        <f t="shared" si="22"/>
        <v>rokwzgl=24 i lp=81220</v>
      </c>
      <c r="AD64" s="19" t="str">
        <f t="shared" si="22"/>
        <v>rokwzgl=25 i lp=81220</v>
      </c>
      <c r="AE64" s="19" t="str">
        <f t="shared" si="22"/>
        <v>rokwzgl=26 i lp=81220</v>
      </c>
      <c r="AF64" s="19" t="str">
        <f t="shared" si="22"/>
        <v>rokwzgl=27 i lp=81220</v>
      </c>
      <c r="AG64" s="19" t="str">
        <f t="shared" si="22"/>
        <v>rokwzgl=28 i lp=81220</v>
      </c>
      <c r="AH64" s="19" t="str">
        <f t="shared" si="22"/>
        <v>rokwzgl=29 i lp=81220</v>
      </c>
      <c r="AI64" s="19" t="str">
        <f t="shared" si="22"/>
        <v>rokwzgl=30 i lp=81220</v>
      </c>
      <c r="AJ64" s="19" t="str">
        <f t="shared" si="21"/>
        <v>rokwzgl=31 i lp=81220</v>
      </c>
      <c r="AK64" s="19" t="str">
        <f t="shared" si="21"/>
        <v>rokwzgl=32 i lp=81220</v>
      </c>
      <c r="AL64" s="19" t="str">
        <f t="shared" si="21"/>
        <v>rokwzgl=33 i lp=81220</v>
      </c>
      <c r="AM64" s="19" t="str">
        <f t="shared" si="21"/>
        <v>rokwzgl=34 i lp=81220</v>
      </c>
      <c r="AN64" s="19" t="str">
        <f t="shared" si="10"/>
        <v>rokwzgl=35 i lp=81220</v>
      </c>
      <c r="AO64" s="19" t="str">
        <f t="shared" si="10"/>
        <v>rokwzgl=36 i lp=81220</v>
      </c>
      <c r="AP64" s="19" t="str">
        <f t="shared" si="10"/>
        <v>rokwzgl=37 i lp=81220</v>
      </c>
      <c r="AQ64" s="19" t="str">
        <f t="shared" si="10"/>
        <v>rokwzgl=38 i lp=81220</v>
      </c>
      <c r="AR64" s="19" t="str">
        <f t="shared" si="10"/>
        <v>rokwzgl=39 i lp=81220</v>
      </c>
    </row>
    <row r="65" spans="1:44">
      <c r="A65" s="74">
        <v>81226</v>
      </c>
      <c r="B65" s="18" t="s">
        <v>278</v>
      </c>
      <c r="C65" s="19" t="s">
        <v>225</v>
      </c>
      <c r="D65" s="19" t="str">
        <f t="shared" si="19"/>
        <v>rokwzgl=0 i lp=81226</v>
      </c>
      <c r="E65" s="19" t="str">
        <f t="shared" si="19"/>
        <v>rokwzgl=0 i lp=81226</v>
      </c>
      <c r="F65" s="19" t="str">
        <f t="shared" si="19"/>
        <v>rokwzgl=1 i lp=81226</v>
      </c>
      <c r="G65" s="19" t="str">
        <f t="shared" si="19"/>
        <v>rokwzgl=2 i lp=81226</v>
      </c>
      <c r="H65" s="19" t="str">
        <f t="shared" si="19"/>
        <v>rokwzgl=3 i lp=81226</v>
      </c>
      <c r="I65" s="19" t="str">
        <f t="shared" si="19"/>
        <v>rokwzgl=4 i lp=81226</v>
      </c>
      <c r="J65" s="19" t="str">
        <f t="shared" si="19"/>
        <v>rokwzgl=5 i lp=81226</v>
      </c>
      <c r="K65" s="19" t="str">
        <f t="shared" si="19"/>
        <v>rokwzgl=6 i lp=81226</v>
      </c>
      <c r="L65" s="19" t="str">
        <f t="shared" si="19"/>
        <v>rokwzgl=7 i lp=81226</v>
      </c>
      <c r="M65" s="19" t="str">
        <f t="shared" si="19"/>
        <v>rokwzgl=8 i lp=81226</v>
      </c>
      <c r="N65" s="19" t="str">
        <f t="shared" si="20"/>
        <v>rokwzgl=9 i lp=81226</v>
      </c>
      <c r="O65" s="19" t="str">
        <f t="shared" si="20"/>
        <v>rokwzgl=10 i lp=81226</v>
      </c>
      <c r="P65" s="19" t="str">
        <f t="shared" si="20"/>
        <v>rokwzgl=11 i lp=81226</v>
      </c>
      <c r="Q65" s="19" t="str">
        <f t="shared" si="20"/>
        <v>rokwzgl=12 i lp=81226</v>
      </c>
      <c r="R65" s="19" t="str">
        <f t="shared" si="20"/>
        <v>rokwzgl=13 i lp=81226</v>
      </c>
      <c r="S65" s="19" t="str">
        <f t="shared" si="20"/>
        <v>rokwzgl=14 i lp=81226</v>
      </c>
      <c r="T65" s="19" t="str">
        <f t="shared" si="20"/>
        <v>rokwzgl=15 i lp=81226</v>
      </c>
      <c r="U65" s="19" t="str">
        <f t="shared" si="20"/>
        <v>rokwzgl=16 i lp=81226</v>
      </c>
      <c r="V65" s="19" t="str">
        <f t="shared" si="20"/>
        <v>rokwzgl=17 i lp=81226</v>
      </c>
      <c r="W65" s="19" t="str">
        <f t="shared" si="20"/>
        <v>rokwzgl=18 i lp=81226</v>
      </c>
      <c r="X65" s="19" t="str">
        <f t="shared" si="22"/>
        <v>rokwzgl=19 i lp=81226</v>
      </c>
      <c r="Y65" s="19" t="str">
        <f t="shared" si="22"/>
        <v>rokwzgl=20 i lp=81226</v>
      </c>
      <c r="Z65" s="19" t="str">
        <f t="shared" si="22"/>
        <v>rokwzgl=21 i lp=81226</v>
      </c>
      <c r="AA65" s="19" t="str">
        <f t="shared" si="22"/>
        <v>rokwzgl=22 i lp=81226</v>
      </c>
      <c r="AB65" s="19" t="str">
        <f t="shared" si="22"/>
        <v>rokwzgl=23 i lp=81226</v>
      </c>
      <c r="AC65" s="19" t="str">
        <f t="shared" si="22"/>
        <v>rokwzgl=24 i lp=81226</v>
      </c>
      <c r="AD65" s="19" t="str">
        <f t="shared" si="22"/>
        <v>rokwzgl=25 i lp=81226</v>
      </c>
      <c r="AE65" s="19" t="str">
        <f t="shared" si="22"/>
        <v>rokwzgl=26 i lp=81226</v>
      </c>
      <c r="AF65" s="19" t="str">
        <f t="shared" si="22"/>
        <v>rokwzgl=27 i lp=81226</v>
      </c>
      <c r="AG65" s="19" t="str">
        <f t="shared" si="22"/>
        <v>rokwzgl=28 i lp=81226</v>
      </c>
      <c r="AH65" s="19" t="str">
        <f t="shared" si="22"/>
        <v>rokwzgl=29 i lp=81226</v>
      </c>
      <c r="AI65" s="19" t="str">
        <f t="shared" si="22"/>
        <v>rokwzgl=30 i lp=81226</v>
      </c>
      <c r="AJ65" s="19" t="str">
        <f t="shared" si="21"/>
        <v>rokwzgl=31 i lp=81226</v>
      </c>
      <c r="AK65" s="19" t="str">
        <f t="shared" si="21"/>
        <v>rokwzgl=32 i lp=81226</v>
      </c>
      <c r="AL65" s="19" t="str">
        <f t="shared" si="21"/>
        <v>rokwzgl=33 i lp=81226</v>
      </c>
      <c r="AM65" s="19" t="str">
        <f t="shared" si="21"/>
        <v>rokwzgl=34 i lp=81226</v>
      </c>
      <c r="AN65" s="19" t="str">
        <f t="shared" si="10"/>
        <v>rokwzgl=35 i lp=81226</v>
      </c>
      <c r="AO65" s="19" t="str">
        <f t="shared" si="10"/>
        <v>rokwzgl=36 i lp=81226</v>
      </c>
      <c r="AP65" s="19" t="str">
        <f t="shared" si="10"/>
        <v>rokwzgl=37 i lp=81226</v>
      </c>
      <c r="AQ65" s="19" t="str">
        <f t="shared" si="10"/>
        <v>rokwzgl=38 i lp=81226</v>
      </c>
      <c r="AR65" s="19" t="str">
        <f t="shared" si="10"/>
        <v>rokwzgl=39 i lp=81226</v>
      </c>
    </row>
    <row r="66" spans="1:44">
      <c r="A66" s="74">
        <v>82000</v>
      </c>
      <c r="B66" s="18" t="s">
        <v>64</v>
      </c>
      <c r="C66" s="19" t="s">
        <v>226</v>
      </c>
      <c r="D66" s="19" t="str">
        <f t="shared" ref="D66:M75" si="23">+"rokwzgl="&amp;D$9&amp;" i lp="&amp;$A66</f>
        <v>rokwzgl=0 i lp=82000</v>
      </c>
      <c r="E66" s="19" t="str">
        <f t="shared" si="23"/>
        <v>rokwzgl=0 i lp=82000</v>
      </c>
      <c r="F66" s="19" t="str">
        <f t="shared" si="23"/>
        <v>rokwzgl=1 i lp=82000</v>
      </c>
      <c r="G66" s="19" t="str">
        <f t="shared" si="23"/>
        <v>rokwzgl=2 i lp=82000</v>
      </c>
      <c r="H66" s="19" t="str">
        <f t="shared" si="23"/>
        <v>rokwzgl=3 i lp=82000</v>
      </c>
      <c r="I66" s="19" t="str">
        <f t="shared" si="23"/>
        <v>rokwzgl=4 i lp=82000</v>
      </c>
      <c r="J66" s="19" t="str">
        <f t="shared" si="23"/>
        <v>rokwzgl=5 i lp=82000</v>
      </c>
      <c r="K66" s="19" t="str">
        <f t="shared" si="23"/>
        <v>rokwzgl=6 i lp=82000</v>
      </c>
      <c r="L66" s="19" t="str">
        <f t="shared" si="23"/>
        <v>rokwzgl=7 i lp=82000</v>
      </c>
      <c r="M66" s="19" t="str">
        <f t="shared" si="23"/>
        <v>rokwzgl=8 i lp=82000</v>
      </c>
      <c r="N66" s="19" t="str">
        <f t="shared" ref="N66:W75" si="24">+"rokwzgl="&amp;N$9&amp;" i lp="&amp;$A66</f>
        <v>rokwzgl=9 i lp=82000</v>
      </c>
      <c r="O66" s="19" t="str">
        <f t="shared" si="24"/>
        <v>rokwzgl=10 i lp=82000</v>
      </c>
      <c r="P66" s="19" t="str">
        <f t="shared" si="24"/>
        <v>rokwzgl=11 i lp=82000</v>
      </c>
      <c r="Q66" s="19" t="str">
        <f t="shared" si="24"/>
        <v>rokwzgl=12 i lp=82000</v>
      </c>
      <c r="R66" s="19" t="str">
        <f t="shared" si="24"/>
        <v>rokwzgl=13 i lp=82000</v>
      </c>
      <c r="S66" s="19" t="str">
        <f t="shared" si="24"/>
        <v>rokwzgl=14 i lp=82000</v>
      </c>
      <c r="T66" s="19" t="str">
        <f t="shared" si="24"/>
        <v>rokwzgl=15 i lp=82000</v>
      </c>
      <c r="U66" s="19" t="str">
        <f t="shared" si="24"/>
        <v>rokwzgl=16 i lp=82000</v>
      </c>
      <c r="V66" s="19" t="str">
        <f t="shared" si="24"/>
        <v>rokwzgl=17 i lp=82000</v>
      </c>
      <c r="W66" s="19" t="str">
        <f t="shared" si="24"/>
        <v>rokwzgl=18 i lp=82000</v>
      </c>
      <c r="X66" s="19" t="str">
        <f t="shared" si="22"/>
        <v>rokwzgl=19 i lp=82000</v>
      </c>
      <c r="Y66" s="19" t="str">
        <f t="shared" si="22"/>
        <v>rokwzgl=20 i lp=82000</v>
      </c>
      <c r="Z66" s="19" t="str">
        <f t="shared" si="22"/>
        <v>rokwzgl=21 i lp=82000</v>
      </c>
      <c r="AA66" s="19" t="str">
        <f t="shared" si="22"/>
        <v>rokwzgl=22 i lp=82000</v>
      </c>
      <c r="AB66" s="19" t="str">
        <f t="shared" si="22"/>
        <v>rokwzgl=23 i lp=82000</v>
      </c>
      <c r="AC66" s="19" t="str">
        <f t="shared" si="22"/>
        <v>rokwzgl=24 i lp=82000</v>
      </c>
      <c r="AD66" s="19" t="str">
        <f t="shared" si="22"/>
        <v>rokwzgl=25 i lp=82000</v>
      </c>
      <c r="AE66" s="19" t="str">
        <f t="shared" si="22"/>
        <v>rokwzgl=26 i lp=82000</v>
      </c>
      <c r="AF66" s="19" t="str">
        <f t="shared" si="22"/>
        <v>rokwzgl=27 i lp=82000</v>
      </c>
      <c r="AG66" s="19" t="str">
        <f t="shared" si="22"/>
        <v>rokwzgl=28 i lp=82000</v>
      </c>
      <c r="AH66" s="19" t="str">
        <f t="shared" si="22"/>
        <v>rokwzgl=29 i lp=82000</v>
      </c>
      <c r="AI66" s="19" t="str">
        <f t="shared" si="22"/>
        <v>rokwzgl=30 i lp=82000</v>
      </c>
      <c r="AJ66" s="19" t="str">
        <f t="shared" si="21"/>
        <v>rokwzgl=31 i lp=82000</v>
      </c>
      <c r="AK66" s="19" t="str">
        <f t="shared" si="21"/>
        <v>rokwzgl=32 i lp=82000</v>
      </c>
      <c r="AL66" s="19" t="str">
        <f t="shared" si="21"/>
        <v>rokwzgl=33 i lp=82000</v>
      </c>
      <c r="AM66" s="19" t="str">
        <f t="shared" si="21"/>
        <v>rokwzgl=34 i lp=82000</v>
      </c>
      <c r="AN66" s="19" t="str">
        <f t="shared" si="10"/>
        <v>rokwzgl=35 i lp=82000</v>
      </c>
      <c r="AO66" s="19" t="str">
        <f t="shared" si="10"/>
        <v>rokwzgl=36 i lp=82000</v>
      </c>
      <c r="AP66" s="19" t="str">
        <f t="shared" si="10"/>
        <v>rokwzgl=37 i lp=82000</v>
      </c>
      <c r="AQ66" s="19" t="str">
        <f t="shared" si="10"/>
        <v>rokwzgl=38 i lp=82000</v>
      </c>
      <c r="AR66" s="19" t="str">
        <f t="shared" si="10"/>
        <v>rokwzgl=39 i lp=82000</v>
      </c>
    </row>
    <row r="67" spans="1:44">
      <c r="A67" s="74">
        <v>82220</v>
      </c>
      <c r="B67" s="18" t="s">
        <v>279</v>
      </c>
      <c r="C67" s="19" t="s">
        <v>227</v>
      </c>
      <c r="D67" s="19" t="str">
        <f t="shared" si="23"/>
        <v>rokwzgl=0 i lp=82220</v>
      </c>
      <c r="E67" s="19" t="str">
        <f t="shared" si="23"/>
        <v>rokwzgl=0 i lp=82220</v>
      </c>
      <c r="F67" s="19" t="str">
        <f t="shared" si="23"/>
        <v>rokwzgl=1 i lp=82220</v>
      </c>
      <c r="G67" s="19" t="str">
        <f t="shared" si="23"/>
        <v>rokwzgl=2 i lp=82220</v>
      </c>
      <c r="H67" s="19" t="str">
        <f t="shared" si="23"/>
        <v>rokwzgl=3 i lp=82220</v>
      </c>
      <c r="I67" s="19" t="str">
        <f t="shared" si="23"/>
        <v>rokwzgl=4 i lp=82220</v>
      </c>
      <c r="J67" s="19" t="str">
        <f t="shared" si="23"/>
        <v>rokwzgl=5 i lp=82220</v>
      </c>
      <c r="K67" s="19" t="str">
        <f t="shared" si="23"/>
        <v>rokwzgl=6 i lp=82220</v>
      </c>
      <c r="L67" s="19" t="str">
        <f t="shared" si="23"/>
        <v>rokwzgl=7 i lp=82220</v>
      </c>
      <c r="M67" s="19" t="str">
        <f t="shared" si="23"/>
        <v>rokwzgl=8 i lp=82220</v>
      </c>
      <c r="N67" s="19" t="str">
        <f t="shared" si="24"/>
        <v>rokwzgl=9 i lp=82220</v>
      </c>
      <c r="O67" s="19" t="str">
        <f t="shared" si="24"/>
        <v>rokwzgl=10 i lp=82220</v>
      </c>
      <c r="P67" s="19" t="str">
        <f t="shared" si="24"/>
        <v>rokwzgl=11 i lp=82220</v>
      </c>
      <c r="Q67" s="19" t="str">
        <f t="shared" si="24"/>
        <v>rokwzgl=12 i lp=82220</v>
      </c>
      <c r="R67" s="19" t="str">
        <f t="shared" si="24"/>
        <v>rokwzgl=13 i lp=82220</v>
      </c>
      <c r="S67" s="19" t="str">
        <f t="shared" si="24"/>
        <v>rokwzgl=14 i lp=82220</v>
      </c>
      <c r="T67" s="19" t="str">
        <f t="shared" si="24"/>
        <v>rokwzgl=15 i lp=82220</v>
      </c>
      <c r="U67" s="19" t="str">
        <f t="shared" si="24"/>
        <v>rokwzgl=16 i lp=82220</v>
      </c>
      <c r="V67" s="19" t="str">
        <f t="shared" si="24"/>
        <v>rokwzgl=17 i lp=82220</v>
      </c>
      <c r="W67" s="19" t="str">
        <f t="shared" si="24"/>
        <v>rokwzgl=18 i lp=82220</v>
      </c>
      <c r="X67" s="19" t="str">
        <f t="shared" si="22"/>
        <v>rokwzgl=19 i lp=82220</v>
      </c>
      <c r="Y67" s="19" t="str">
        <f t="shared" si="22"/>
        <v>rokwzgl=20 i lp=82220</v>
      </c>
      <c r="Z67" s="19" t="str">
        <f t="shared" si="22"/>
        <v>rokwzgl=21 i lp=82220</v>
      </c>
      <c r="AA67" s="19" t="str">
        <f t="shared" si="22"/>
        <v>rokwzgl=22 i lp=82220</v>
      </c>
      <c r="AB67" s="19" t="str">
        <f t="shared" si="22"/>
        <v>rokwzgl=23 i lp=82220</v>
      </c>
      <c r="AC67" s="19" t="str">
        <f t="shared" si="22"/>
        <v>rokwzgl=24 i lp=82220</v>
      </c>
      <c r="AD67" s="19" t="str">
        <f t="shared" si="22"/>
        <v>rokwzgl=25 i lp=82220</v>
      </c>
      <c r="AE67" s="19" t="str">
        <f t="shared" si="22"/>
        <v>rokwzgl=26 i lp=82220</v>
      </c>
      <c r="AF67" s="19" t="str">
        <f t="shared" si="22"/>
        <v>rokwzgl=27 i lp=82220</v>
      </c>
      <c r="AG67" s="19" t="str">
        <f t="shared" si="22"/>
        <v>rokwzgl=28 i lp=82220</v>
      </c>
      <c r="AH67" s="19" t="str">
        <f t="shared" si="22"/>
        <v>rokwzgl=29 i lp=82220</v>
      </c>
      <c r="AI67" s="19" t="str">
        <f t="shared" si="22"/>
        <v>rokwzgl=30 i lp=82220</v>
      </c>
      <c r="AJ67" s="19" t="str">
        <f t="shared" si="21"/>
        <v>rokwzgl=31 i lp=82220</v>
      </c>
      <c r="AK67" s="19" t="str">
        <f t="shared" si="21"/>
        <v>rokwzgl=32 i lp=82220</v>
      </c>
      <c r="AL67" s="19" t="str">
        <f t="shared" si="21"/>
        <v>rokwzgl=33 i lp=82220</v>
      </c>
      <c r="AM67" s="19" t="str">
        <f t="shared" si="21"/>
        <v>rokwzgl=34 i lp=82220</v>
      </c>
      <c r="AN67" s="19" t="str">
        <f t="shared" si="10"/>
        <v>rokwzgl=35 i lp=82220</v>
      </c>
      <c r="AO67" s="19" t="str">
        <f t="shared" si="10"/>
        <v>rokwzgl=36 i lp=82220</v>
      </c>
      <c r="AP67" s="19" t="str">
        <f t="shared" si="10"/>
        <v>rokwzgl=37 i lp=82220</v>
      </c>
      <c r="AQ67" s="19" t="str">
        <f t="shared" si="10"/>
        <v>rokwzgl=38 i lp=82220</v>
      </c>
      <c r="AR67" s="19" t="str">
        <f t="shared" si="10"/>
        <v>rokwzgl=39 i lp=82220</v>
      </c>
    </row>
    <row r="68" spans="1:44">
      <c r="A68" s="74">
        <v>82226</v>
      </c>
      <c r="B68" s="18" t="s">
        <v>280</v>
      </c>
      <c r="C68" s="19" t="s">
        <v>228</v>
      </c>
      <c r="D68" s="19" t="str">
        <f t="shared" si="23"/>
        <v>rokwzgl=0 i lp=82226</v>
      </c>
      <c r="E68" s="19" t="str">
        <f t="shared" si="23"/>
        <v>rokwzgl=0 i lp=82226</v>
      </c>
      <c r="F68" s="19" t="str">
        <f t="shared" si="23"/>
        <v>rokwzgl=1 i lp=82226</v>
      </c>
      <c r="G68" s="19" t="str">
        <f t="shared" si="23"/>
        <v>rokwzgl=2 i lp=82226</v>
      </c>
      <c r="H68" s="19" t="str">
        <f t="shared" si="23"/>
        <v>rokwzgl=3 i lp=82226</v>
      </c>
      <c r="I68" s="19" t="str">
        <f t="shared" si="23"/>
        <v>rokwzgl=4 i lp=82226</v>
      </c>
      <c r="J68" s="19" t="str">
        <f t="shared" si="23"/>
        <v>rokwzgl=5 i lp=82226</v>
      </c>
      <c r="K68" s="19" t="str">
        <f t="shared" si="23"/>
        <v>rokwzgl=6 i lp=82226</v>
      </c>
      <c r="L68" s="19" t="str">
        <f t="shared" si="23"/>
        <v>rokwzgl=7 i lp=82226</v>
      </c>
      <c r="M68" s="19" t="str">
        <f t="shared" si="23"/>
        <v>rokwzgl=8 i lp=82226</v>
      </c>
      <c r="N68" s="19" t="str">
        <f t="shared" si="24"/>
        <v>rokwzgl=9 i lp=82226</v>
      </c>
      <c r="O68" s="19" t="str">
        <f t="shared" si="24"/>
        <v>rokwzgl=10 i lp=82226</v>
      </c>
      <c r="P68" s="19" t="str">
        <f t="shared" si="24"/>
        <v>rokwzgl=11 i lp=82226</v>
      </c>
      <c r="Q68" s="19" t="str">
        <f t="shared" si="24"/>
        <v>rokwzgl=12 i lp=82226</v>
      </c>
      <c r="R68" s="19" t="str">
        <f t="shared" si="24"/>
        <v>rokwzgl=13 i lp=82226</v>
      </c>
      <c r="S68" s="19" t="str">
        <f t="shared" si="24"/>
        <v>rokwzgl=14 i lp=82226</v>
      </c>
      <c r="T68" s="19" t="str">
        <f t="shared" si="24"/>
        <v>rokwzgl=15 i lp=82226</v>
      </c>
      <c r="U68" s="19" t="str">
        <f t="shared" si="24"/>
        <v>rokwzgl=16 i lp=82226</v>
      </c>
      <c r="V68" s="19" t="str">
        <f t="shared" si="24"/>
        <v>rokwzgl=17 i lp=82226</v>
      </c>
      <c r="W68" s="19" t="str">
        <f t="shared" si="24"/>
        <v>rokwzgl=18 i lp=82226</v>
      </c>
      <c r="X68" s="19" t="str">
        <f t="shared" si="22"/>
        <v>rokwzgl=19 i lp=82226</v>
      </c>
      <c r="Y68" s="19" t="str">
        <f t="shared" si="22"/>
        <v>rokwzgl=20 i lp=82226</v>
      </c>
      <c r="Z68" s="19" t="str">
        <f t="shared" si="22"/>
        <v>rokwzgl=21 i lp=82226</v>
      </c>
      <c r="AA68" s="19" t="str">
        <f t="shared" si="22"/>
        <v>rokwzgl=22 i lp=82226</v>
      </c>
      <c r="AB68" s="19" t="str">
        <f t="shared" si="22"/>
        <v>rokwzgl=23 i lp=82226</v>
      </c>
      <c r="AC68" s="19" t="str">
        <f t="shared" si="22"/>
        <v>rokwzgl=24 i lp=82226</v>
      </c>
      <c r="AD68" s="19" t="str">
        <f t="shared" si="22"/>
        <v>rokwzgl=25 i lp=82226</v>
      </c>
      <c r="AE68" s="19" t="str">
        <f t="shared" si="22"/>
        <v>rokwzgl=26 i lp=82226</v>
      </c>
      <c r="AF68" s="19" t="str">
        <f t="shared" si="22"/>
        <v>rokwzgl=27 i lp=82226</v>
      </c>
      <c r="AG68" s="19" t="str">
        <f t="shared" si="22"/>
        <v>rokwzgl=28 i lp=82226</v>
      </c>
      <c r="AH68" s="19" t="str">
        <f t="shared" si="22"/>
        <v>rokwzgl=29 i lp=82226</v>
      </c>
      <c r="AI68" s="19" t="str">
        <f t="shared" si="22"/>
        <v>rokwzgl=30 i lp=82226</v>
      </c>
      <c r="AJ68" s="19" t="str">
        <f t="shared" si="21"/>
        <v>rokwzgl=31 i lp=82226</v>
      </c>
      <c r="AK68" s="19" t="str">
        <f t="shared" si="21"/>
        <v>rokwzgl=32 i lp=82226</v>
      </c>
      <c r="AL68" s="19" t="str">
        <f t="shared" si="21"/>
        <v>rokwzgl=33 i lp=82226</v>
      </c>
      <c r="AM68" s="19" t="str">
        <f t="shared" si="21"/>
        <v>rokwzgl=34 i lp=82226</v>
      </c>
      <c r="AN68" s="19" t="str">
        <f t="shared" si="10"/>
        <v>rokwzgl=35 i lp=82226</v>
      </c>
      <c r="AO68" s="19" t="str">
        <f t="shared" si="10"/>
        <v>rokwzgl=36 i lp=82226</v>
      </c>
      <c r="AP68" s="19" t="str">
        <f t="shared" si="10"/>
        <v>rokwzgl=37 i lp=82226</v>
      </c>
      <c r="AQ68" s="19" t="str">
        <f t="shared" si="10"/>
        <v>rokwzgl=38 i lp=82226</v>
      </c>
      <c r="AR68" s="19" t="str">
        <f t="shared" si="10"/>
        <v>rokwzgl=39 i lp=82226</v>
      </c>
    </row>
    <row r="69" spans="1:44">
      <c r="A69" s="74">
        <v>83000</v>
      </c>
      <c r="B69" s="18" t="s">
        <v>303</v>
      </c>
      <c r="C69" s="19" t="s">
        <v>229</v>
      </c>
      <c r="D69" s="19" t="str">
        <f t="shared" si="23"/>
        <v>rokwzgl=0 i lp=83000</v>
      </c>
      <c r="E69" s="19" t="str">
        <f t="shared" si="23"/>
        <v>rokwzgl=0 i lp=83000</v>
      </c>
      <c r="F69" s="19" t="str">
        <f t="shared" si="23"/>
        <v>rokwzgl=1 i lp=83000</v>
      </c>
      <c r="G69" s="19" t="str">
        <f t="shared" si="23"/>
        <v>rokwzgl=2 i lp=83000</v>
      </c>
      <c r="H69" s="19" t="str">
        <f t="shared" si="23"/>
        <v>rokwzgl=3 i lp=83000</v>
      </c>
      <c r="I69" s="19" t="str">
        <f t="shared" si="23"/>
        <v>rokwzgl=4 i lp=83000</v>
      </c>
      <c r="J69" s="19" t="str">
        <f t="shared" si="23"/>
        <v>rokwzgl=5 i lp=83000</v>
      </c>
      <c r="K69" s="19" t="str">
        <f t="shared" si="23"/>
        <v>rokwzgl=6 i lp=83000</v>
      </c>
      <c r="L69" s="19" t="str">
        <f t="shared" si="23"/>
        <v>rokwzgl=7 i lp=83000</v>
      </c>
      <c r="M69" s="19" t="str">
        <f t="shared" si="23"/>
        <v>rokwzgl=8 i lp=83000</v>
      </c>
      <c r="N69" s="19" t="str">
        <f t="shared" si="24"/>
        <v>rokwzgl=9 i lp=83000</v>
      </c>
      <c r="O69" s="19" t="str">
        <f t="shared" si="24"/>
        <v>rokwzgl=10 i lp=83000</v>
      </c>
      <c r="P69" s="19" t="str">
        <f t="shared" si="24"/>
        <v>rokwzgl=11 i lp=83000</v>
      </c>
      <c r="Q69" s="19" t="str">
        <f t="shared" si="24"/>
        <v>rokwzgl=12 i lp=83000</v>
      </c>
      <c r="R69" s="19" t="str">
        <f t="shared" si="24"/>
        <v>rokwzgl=13 i lp=83000</v>
      </c>
      <c r="S69" s="19" t="str">
        <f t="shared" si="24"/>
        <v>rokwzgl=14 i lp=83000</v>
      </c>
      <c r="T69" s="19" t="str">
        <f t="shared" si="24"/>
        <v>rokwzgl=15 i lp=83000</v>
      </c>
      <c r="U69" s="19" t="str">
        <f t="shared" si="24"/>
        <v>rokwzgl=16 i lp=83000</v>
      </c>
      <c r="V69" s="19" t="str">
        <f t="shared" si="24"/>
        <v>rokwzgl=17 i lp=83000</v>
      </c>
      <c r="W69" s="19" t="str">
        <f t="shared" si="24"/>
        <v>rokwzgl=18 i lp=83000</v>
      </c>
      <c r="X69" s="19" t="str">
        <f t="shared" si="22"/>
        <v>rokwzgl=19 i lp=83000</v>
      </c>
      <c r="Y69" s="19" t="str">
        <f t="shared" si="22"/>
        <v>rokwzgl=20 i lp=83000</v>
      </c>
      <c r="Z69" s="19" t="str">
        <f t="shared" si="22"/>
        <v>rokwzgl=21 i lp=83000</v>
      </c>
      <c r="AA69" s="19" t="str">
        <f t="shared" si="22"/>
        <v>rokwzgl=22 i lp=83000</v>
      </c>
      <c r="AB69" s="19" t="str">
        <f t="shared" si="22"/>
        <v>rokwzgl=23 i lp=83000</v>
      </c>
      <c r="AC69" s="19" t="str">
        <f t="shared" si="22"/>
        <v>rokwzgl=24 i lp=83000</v>
      </c>
      <c r="AD69" s="19" t="str">
        <f t="shared" si="22"/>
        <v>rokwzgl=25 i lp=83000</v>
      </c>
      <c r="AE69" s="19" t="str">
        <f t="shared" si="22"/>
        <v>rokwzgl=26 i lp=83000</v>
      </c>
      <c r="AF69" s="19" t="str">
        <f t="shared" si="22"/>
        <v>rokwzgl=27 i lp=83000</v>
      </c>
      <c r="AG69" s="19" t="str">
        <f t="shared" si="22"/>
        <v>rokwzgl=28 i lp=83000</v>
      </c>
      <c r="AH69" s="19" t="str">
        <f t="shared" si="22"/>
        <v>rokwzgl=29 i lp=83000</v>
      </c>
      <c r="AI69" s="19" t="str">
        <f t="shared" si="22"/>
        <v>rokwzgl=30 i lp=83000</v>
      </c>
      <c r="AJ69" s="19" t="str">
        <f t="shared" si="21"/>
        <v>rokwzgl=31 i lp=83000</v>
      </c>
      <c r="AK69" s="19" t="str">
        <f t="shared" si="21"/>
        <v>rokwzgl=32 i lp=83000</v>
      </c>
      <c r="AL69" s="19" t="str">
        <f t="shared" si="21"/>
        <v>rokwzgl=33 i lp=83000</v>
      </c>
      <c r="AM69" s="19" t="str">
        <f t="shared" si="21"/>
        <v>rokwzgl=34 i lp=83000</v>
      </c>
      <c r="AN69" s="19" t="str">
        <f t="shared" si="10"/>
        <v>rokwzgl=35 i lp=83000</v>
      </c>
      <c r="AO69" s="19" t="str">
        <f t="shared" si="10"/>
        <v>rokwzgl=36 i lp=83000</v>
      </c>
      <c r="AP69" s="19" t="str">
        <f t="shared" si="10"/>
        <v>rokwzgl=37 i lp=83000</v>
      </c>
      <c r="AQ69" s="19" t="str">
        <f t="shared" si="10"/>
        <v>rokwzgl=38 i lp=83000</v>
      </c>
      <c r="AR69" s="19" t="str">
        <f t="shared" si="10"/>
        <v>rokwzgl=39 i lp=83000</v>
      </c>
    </row>
    <row r="70" spans="1:44">
      <c r="A70" s="74">
        <v>83100</v>
      </c>
      <c r="B70" s="18" t="s">
        <v>281</v>
      </c>
      <c r="C70" s="19" t="s">
        <v>230</v>
      </c>
      <c r="D70" s="19" t="str">
        <f t="shared" si="23"/>
        <v>rokwzgl=0 i lp=83100</v>
      </c>
      <c r="E70" s="19" t="str">
        <f t="shared" si="23"/>
        <v>rokwzgl=0 i lp=83100</v>
      </c>
      <c r="F70" s="19" t="str">
        <f t="shared" si="23"/>
        <v>rokwzgl=1 i lp=83100</v>
      </c>
      <c r="G70" s="19" t="str">
        <f t="shared" si="23"/>
        <v>rokwzgl=2 i lp=83100</v>
      </c>
      <c r="H70" s="19" t="str">
        <f t="shared" si="23"/>
        <v>rokwzgl=3 i lp=83100</v>
      </c>
      <c r="I70" s="19" t="str">
        <f t="shared" si="23"/>
        <v>rokwzgl=4 i lp=83100</v>
      </c>
      <c r="J70" s="19" t="str">
        <f t="shared" si="23"/>
        <v>rokwzgl=5 i lp=83100</v>
      </c>
      <c r="K70" s="19" t="str">
        <f t="shared" si="23"/>
        <v>rokwzgl=6 i lp=83100</v>
      </c>
      <c r="L70" s="19" t="str">
        <f t="shared" si="23"/>
        <v>rokwzgl=7 i lp=83100</v>
      </c>
      <c r="M70" s="19" t="str">
        <f t="shared" si="23"/>
        <v>rokwzgl=8 i lp=83100</v>
      </c>
      <c r="N70" s="19" t="str">
        <f t="shared" si="24"/>
        <v>rokwzgl=9 i lp=83100</v>
      </c>
      <c r="O70" s="19" t="str">
        <f t="shared" si="24"/>
        <v>rokwzgl=10 i lp=83100</v>
      </c>
      <c r="P70" s="19" t="str">
        <f t="shared" si="24"/>
        <v>rokwzgl=11 i lp=83100</v>
      </c>
      <c r="Q70" s="19" t="str">
        <f t="shared" si="24"/>
        <v>rokwzgl=12 i lp=83100</v>
      </c>
      <c r="R70" s="19" t="str">
        <f t="shared" si="24"/>
        <v>rokwzgl=13 i lp=83100</v>
      </c>
      <c r="S70" s="19" t="str">
        <f t="shared" si="24"/>
        <v>rokwzgl=14 i lp=83100</v>
      </c>
      <c r="T70" s="19" t="str">
        <f t="shared" si="24"/>
        <v>rokwzgl=15 i lp=83100</v>
      </c>
      <c r="U70" s="19" t="str">
        <f t="shared" si="24"/>
        <v>rokwzgl=16 i lp=83100</v>
      </c>
      <c r="V70" s="19" t="str">
        <f t="shared" si="24"/>
        <v>rokwzgl=17 i lp=83100</v>
      </c>
      <c r="W70" s="19" t="str">
        <f t="shared" si="24"/>
        <v>rokwzgl=18 i lp=83100</v>
      </c>
      <c r="X70" s="19" t="str">
        <f t="shared" ref="X70:AI79" si="25">+"rokwzgl="&amp;X$9&amp;" i lp="&amp;$A70</f>
        <v>rokwzgl=19 i lp=83100</v>
      </c>
      <c r="Y70" s="19" t="str">
        <f t="shared" si="25"/>
        <v>rokwzgl=20 i lp=83100</v>
      </c>
      <c r="Z70" s="19" t="str">
        <f t="shared" si="25"/>
        <v>rokwzgl=21 i lp=83100</v>
      </c>
      <c r="AA70" s="19" t="str">
        <f t="shared" si="25"/>
        <v>rokwzgl=22 i lp=83100</v>
      </c>
      <c r="AB70" s="19" t="str">
        <f t="shared" si="25"/>
        <v>rokwzgl=23 i lp=83100</v>
      </c>
      <c r="AC70" s="19" t="str">
        <f t="shared" si="25"/>
        <v>rokwzgl=24 i lp=83100</v>
      </c>
      <c r="AD70" s="19" t="str">
        <f t="shared" si="25"/>
        <v>rokwzgl=25 i lp=83100</v>
      </c>
      <c r="AE70" s="19" t="str">
        <f t="shared" si="25"/>
        <v>rokwzgl=26 i lp=83100</v>
      </c>
      <c r="AF70" s="19" t="str">
        <f t="shared" si="25"/>
        <v>rokwzgl=27 i lp=83100</v>
      </c>
      <c r="AG70" s="19" t="str">
        <f t="shared" si="25"/>
        <v>rokwzgl=28 i lp=83100</v>
      </c>
      <c r="AH70" s="19" t="str">
        <f t="shared" si="25"/>
        <v>rokwzgl=29 i lp=83100</v>
      </c>
      <c r="AI70" s="19" t="str">
        <f t="shared" si="25"/>
        <v>rokwzgl=30 i lp=83100</v>
      </c>
      <c r="AJ70" s="19" t="str">
        <f t="shared" si="21"/>
        <v>rokwzgl=31 i lp=83100</v>
      </c>
      <c r="AK70" s="19" t="str">
        <f t="shared" si="21"/>
        <v>rokwzgl=32 i lp=83100</v>
      </c>
      <c r="AL70" s="19" t="str">
        <f t="shared" si="21"/>
        <v>rokwzgl=33 i lp=83100</v>
      </c>
      <c r="AM70" s="19" t="str">
        <f t="shared" si="21"/>
        <v>rokwzgl=34 i lp=83100</v>
      </c>
      <c r="AN70" s="19" t="str">
        <f t="shared" si="10"/>
        <v>rokwzgl=35 i lp=83100</v>
      </c>
      <c r="AO70" s="19" t="str">
        <f t="shared" si="10"/>
        <v>rokwzgl=36 i lp=83100</v>
      </c>
      <c r="AP70" s="19" t="str">
        <f t="shared" si="10"/>
        <v>rokwzgl=37 i lp=83100</v>
      </c>
      <c r="AQ70" s="19" t="str">
        <f t="shared" si="10"/>
        <v>rokwzgl=38 i lp=83100</v>
      </c>
      <c r="AR70" s="19" t="str">
        <f t="shared" si="10"/>
        <v>rokwzgl=39 i lp=83100</v>
      </c>
    </row>
    <row r="71" spans="1:44">
      <c r="A71" s="74">
        <v>84000</v>
      </c>
      <c r="B71" s="18" t="s">
        <v>304</v>
      </c>
      <c r="C71" s="19" t="s">
        <v>231</v>
      </c>
      <c r="D71" s="19" t="str">
        <f t="shared" si="23"/>
        <v>rokwzgl=0 i lp=84000</v>
      </c>
      <c r="E71" s="19" t="str">
        <f t="shared" si="23"/>
        <v>rokwzgl=0 i lp=84000</v>
      </c>
      <c r="F71" s="19" t="str">
        <f t="shared" si="23"/>
        <v>rokwzgl=1 i lp=84000</v>
      </c>
      <c r="G71" s="19" t="str">
        <f t="shared" si="23"/>
        <v>rokwzgl=2 i lp=84000</v>
      </c>
      <c r="H71" s="19" t="str">
        <f t="shared" si="23"/>
        <v>rokwzgl=3 i lp=84000</v>
      </c>
      <c r="I71" s="19" t="str">
        <f t="shared" si="23"/>
        <v>rokwzgl=4 i lp=84000</v>
      </c>
      <c r="J71" s="19" t="str">
        <f t="shared" si="23"/>
        <v>rokwzgl=5 i lp=84000</v>
      </c>
      <c r="K71" s="19" t="str">
        <f t="shared" si="23"/>
        <v>rokwzgl=6 i lp=84000</v>
      </c>
      <c r="L71" s="19" t="str">
        <f t="shared" si="23"/>
        <v>rokwzgl=7 i lp=84000</v>
      </c>
      <c r="M71" s="19" t="str">
        <f t="shared" si="23"/>
        <v>rokwzgl=8 i lp=84000</v>
      </c>
      <c r="N71" s="19" t="str">
        <f t="shared" si="24"/>
        <v>rokwzgl=9 i lp=84000</v>
      </c>
      <c r="O71" s="19" t="str">
        <f t="shared" si="24"/>
        <v>rokwzgl=10 i lp=84000</v>
      </c>
      <c r="P71" s="19" t="str">
        <f t="shared" si="24"/>
        <v>rokwzgl=11 i lp=84000</v>
      </c>
      <c r="Q71" s="19" t="str">
        <f t="shared" si="24"/>
        <v>rokwzgl=12 i lp=84000</v>
      </c>
      <c r="R71" s="19" t="str">
        <f t="shared" si="24"/>
        <v>rokwzgl=13 i lp=84000</v>
      </c>
      <c r="S71" s="19" t="str">
        <f t="shared" si="24"/>
        <v>rokwzgl=14 i lp=84000</v>
      </c>
      <c r="T71" s="19" t="str">
        <f t="shared" si="24"/>
        <v>rokwzgl=15 i lp=84000</v>
      </c>
      <c r="U71" s="19" t="str">
        <f t="shared" si="24"/>
        <v>rokwzgl=16 i lp=84000</v>
      </c>
      <c r="V71" s="19" t="str">
        <f t="shared" si="24"/>
        <v>rokwzgl=17 i lp=84000</v>
      </c>
      <c r="W71" s="19" t="str">
        <f t="shared" si="24"/>
        <v>rokwzgl=18 i lp=84000</v>
      </c>
      <c r="X71" s="19" t="str">
        <f t="shared" si="25"/>
        <v>rokwzgl=19 i lp=84000</v>
      </c>
      <c r="Y71" s="19" t="str">
        <f t="shared" si="25"/>
        <v>rokwzgl=20 i lp=84000</v>
      </c>
      <c r="Z71" s="19" t="str">
        <f t="shared" si="25"/>
        <v>rokwzgl=21 i lp=84000</v>
      </c>
      <c r="AA71" s="19" t="str">
        <f t="shared" si="25"/>
        <v>rokwzgl=22 i lp=84000</v>
      </c>
      <c r="AB71" s="19" t="str">
        <f t="shared" si="25"/>
        <v>rokwzgl=23 i lp=84000</v>
      </c>
      <c r="AC71" s="19" t="str">
        <f t="shared" si="25"/>
        <v>rokwzgl=24 i lp=84000</v>
      </c>
      <c r="AD71" s="19" t="str">
        <f t="shared" si="25"/>
        <v>rokwzgl=25 i lp=84000</v>
      </c>
      <c r="AE71" s="19" t="str">
        <f t="shared" si="25"/>
        <v>rokwzgl=26 i lp=84000</v>
      </c>
      <c r="AF71" s="19" t="str">
        <f t="shared" si="25"/>
        <v>rokwzgl=27 i lp=84000</v>
      </c>
      <c r="AG71" s="19" t="str">
        <f t="shared" si="25"/>
        <v>rokwzgl=28 i lp=84000</v>
      </c>
      <c r="AH71" s="19" t="str">
        <f t="shared" si="25"/>
        <v>rokwzgl=29 i lp=84000</v>
      </c>
      <c r="AI71" s="19" t="str">
        <f t="shared" si="25"/>
        <v>rokwzgl=30 i lp=84000</v>
      </c>
      <c r="AJ71" s="19" t="str">
        <f t="shared" si="21"/>
        <v>rokwzgl=31 i lp=84000</v>
      </c>
      <c r="AK71" s="19" t="str">
        <f t="shared" si="21"/>
        <v>rokwzgl=32 i lp=84000</v>
      </c>
      <c r="AL71" s="19" t="str">
        <f t="shared" si="21"/>
        <v>rokwzgl=33 i lp=84000</v>
      </c>
      <c r="AM71" s="19" t="str">
        <f t="shared" si="21"/>
        <v>rokwzgl=34 i lp=84000</v>
      </c>
      <c r="AN71" s="19" t="str">
        <f t="shared" si="10"/>
        <v>rokwzgl=35 i lp=84000</v>
      </c>
      <c r="AO71" s="19" t="str">
        <f t="shared" si="10"/>
        <v>rokwzgl=36 i lp=84000</v>
      </c>
      <c r="AP71" s="19" t="str">
        <f t="shared" si="10"/>
        <v>rokwzgl=37 i lp=84000</v>
      </c>
      <c r="AQ71" s="19" t="str">
        <f t="shared" si="10"/>
        <v>rokwzgl=38 i lp=84000</v>
      </c>
      <c r="AR71" s="19" t="str">
        <f t="shared" si="10"/>
        <v>rokwzgl=39 i lp=84000</v>
      </c>
    </row>
    <row r="72" spans="1:44">
      <c r="A72" s="74">
        <v>84100</v>
      </c>
      <c r="B72" s="18" t="s">
        <v>282</v>
      </c>
      <c r="C72" s="19" t="s">
        <v>232</v>
      </c>
      <c r="D72" s="19" t="str">
        <f t="shared" si="23"/>
        <v>rokwzgl=0 i lp=84100</v>
      </c>
      <c r="E72" s="19" t="str">
        <f t="shared" si="23"/>
        <v>rokwzgl=0 i lp=84100</v>
      </c>
      <c r="F72" s="19" t="str">
        <f t="shared" si="23"/>
        <v>rokwzgl=1 i lp=84100</v>
      </c>
      <c r="G72" s="19" t="str">
        <f t="shared" si="23"/>
        <v>rokwzgl=2 i lp=84100</v>
      </c>
      <c r="H72" s="19" t="str">
        <f t="shared" si="23"/>
        <v>rokwzgl=3 i lp=84100</v>
      </c>
      <c r="I72" s="19" t="str">
        <f t="shared" si="23"/>
        <v>rokwzgl=4 i lp=84100</v>
      </c>
      <c r="J72" s="19" t="str">
        <f t="shared" si="23"/>
        <v>rokwzgl=5 i lp=84100</v>
      </c>
      <c r="K72" s="19" t="str">
        <f t="shared" si="23"/>
        <v>rokwzgl=6 i lp=84100</v>
      </c>
      <c r="L72" s="19" t="str">
        <f t="shared" si="23"/>
        <v>rokwzgl=7 i lp=84100</v>
      </c>
      <c r="M72" s="19" t="str">
        <f t="shared" si="23"/>
        <v>rokwzgl=8 i lp=84100</v>
      </c>
      <c r="N72" s="19" t="str">
        <f t="shared" si="24"/>
        <v>rokwzgl=9 i lp=84100</v>
      </c>
      <c r="O72" s="19" t="str">
        <f t="shared" si="24"/>
        <v>rokwzgl=10 i lp=84100</v>
      </c>
      <c r="P72" s="19" t="str">
        <f t="shared" si="24"/>
        <v>rokwzgl=11 i lp=84100</v>
      </c>
      <c r="Q72" s="19" t="str">
        <f t="shared" si="24"/>
        <v>rokwzgl=12 i lp=84100</v>
      </c>
      <c r="R72" s="19" t="str">
        <f t="shared" si="24"/>
        <v>rokwzgl=13 i lp=84100</v>
      </c>
      <c r="S72" s="19" t="str">
        <f t="shared" si="24"/>
        <v>rokwzgl=14 i lp=84100</v>
      </c>
      <c r="T72" s="19" t="str">
        <f t="shared" si="24"/>
        <v>rokwzgl=15 i lp=84100</v>
      </c>
      <c r="U72" s="19" t="str">
        <f t="shared" si="24"/>
        <v>rokwzgl=16 i lp=84100</v>
      </c>
      <c r="V72" s="19" t="str">
        <f t="shared" si="24"/>
        <v>rokwzgl=17 i lp=84100</v>
      </c>
      <c r="W72" s="19" t="str">
        <f t="shared" si="24"/>
        <v>rokwzgl=18 i lp=84100</v>
      </c>
      <c r="X72" s="19" t="str">
        <f t="shared" si="25"/>
        <v>rokwzgl=19 i lp=84100</v>
      </c>
      <c r="Y72" s="19" t="str">
        <f t="shared" si="25"/>
        <v>rokwzgl=20 i lp=84100</v>
      </c>
      <c r="Z72" s="19" t="str">
        <f t="shared" si="25"/>
        <v>rokwzgl=21 i lp=84100</v>
      </c>
      <c r="AA72" s="19" t="str">
        <f t="shared" si="25"/>
        <v>rokwzgl=22 i lp=84100</v>
      </c>
      <c r="AB72" s="19" t="str">
        <f t="shared" si="25"/>
        <v>rokwzgl=23 i lp=84100</v>
      </c>
      <c r="AC72" s="19" t="str">
        <f t="shared" si="25"/>
        <v>rokwzgl=24 i lp=84100</v>
      </c>
      <c r="AD72" s="19" t="str">
        <f t="shared" si="25"/>
        <v>rokwzgl=25 i lp=84100</v>
      </c>
      <c r="AE72" s="19" t="str">
        <f t="shared" si="25"/>
        <v>rokwzgl=26 i lp=84100</v>
      </c>
      <c r="AF72" s="19" t="str">
        <f t="shared" si="25"/>
        <v>rokwzgl=27 i lp=84100</v>
      </c>
      <c r="AG72" s="19" t="str">
        <f t="shared" si="25"/>
        <v>rokwzgl=28 i lp=84100</v>
      </c>
      <c r="AH72" s="19" t="str">
        <f t="shared" si="25"/>
        <v>rokwzgl=29 i lp=84100</v>
      </c>
      <c r="AI72" s="19" t="str">
        <f t="shared" si="25"/>
        <v>rokwzgl=30 i lp=84100</v>
      </c>
      <c r="AJ72" s="19" t="str">
        <f t="shared" si="21"/>
        <v>rokwzgl=31 i lp=84100</v>
      </c>
      <c r="AK72" s="19" t="str">
        <f t="shared" si="21"/>
        <v>rokwzgl=32 i lp=84100</v>
      </c>
      <c r="AL72" s="19" t="str">
        <f t="shared" si="21"/>
        <v>rokwzgl=33 i lp=84100</v>
      </c>
      <c r="AM72" s="19" t="str">
        <f t="shared" si="21"/>
        <v>rokwzgl=34 i lp=84100</v>
      </c>
      <c r="AN72" s="19" t="str">
        <f t="shared" si="10"/>
        <v>rokwzgl=35 i lp=84100</v>
      </c>
      <c r="AO72" s="19" t="str">
        <f t="shared" si="10"/>
        <v>rokwzgl=36 i lp=84100</v>
      </c>
      <c r="AP72" s="19" t="str">
        <f t="shared" si="10"/>
        <v>rokwzgl=37 i lp=84100</v>
      </c>
      <c r="AQ72" s="19" t="str">
        <f t="shared" si="10"/>
        <v>rokwzgl=38 i lp=84100</v>
      </c>
      <c r="AR72" s="19" t="str">
        <f t="shared" si="10"/>
        <v>rokwzgl=39 i lp=84100</v>
      </c>
    </row>
    <row r="73" spans="1:44">
      <c r="A73" s="74">
        <v>85100</v>
      </c>
      <c r="B73" s="18" t="s">
        <v>584</v>
      </c>
      <c r="D73" s="19" t="str">
        <f t="shared" si="23"/>
        <v>rokwzgl=0 i lp=85100</v>
      </c>
      <c r="E73" s="19" t="str">
        <f t="shared" si="23"/>
        <v>rokwzgl=0 i lp=85100</v>
      </c>
      <c r="F73" s="19" t="str">
        <f t="shared" si="23"/>
        <v>rokwzgl=1 i lp=85100</v>
      </c>
      <c r="G73" s="19" t="str">
        <f t="shared" si="23"/>
        <v>rokwzgl=2 i lp=85100</v>
      </c>
      <c r="H73" s="19" t="str">
        <f t="shared" si="23"/>
        <v>rokwzgl=3 i lp=85100</v>
      </c>
      <c r="I73" s="19" t="str">
        <f t="shared" si="23"/>
        <v>rokwzgl=4 i lp=85100</v>
      </c>
      <c r="J73" s="19" t="str">
        <f t="shared" si="23"/>
        <v>rokwzgl=5 i lp=85100</v>
      </c>
      <c r="K73" s="19" t="str">
        <f t="shared" si="23"/>
        <v>rokwzgl=6 i lp=85100</v>
      </c>
      <c r="L73" s="19" t="str">
        <f t="shared" si="23"/>
        <v>rokwzgl=7 i lp=85100</v>
      </c>
      <c r="M73" s="19" t="str">
        <f t="shared" si="23"/>
        <v>rokwzgl=8 i lp=85100</v>
      </c>
      <c r="N73" s="19" t="str">
        <f t="shared" si="24"/>
        <v>rokwzgl=9 i lp=85100</v>
      </c>
      <c r="O73" s="19" t="str">
        <f t="shared" si="24"/>
        <v>rokwzgl=10 i lp=85100</v>
      </c>
      <c r="P73" s="19" t="str">
        <f t="shared" si="24"/>
        <v>rokwzgl=11 i lp=85100</v>
      </c>
      <c r="Q73" s="19" t="str">
        <f t="shared" si="24"/>
        <v>rokwzgl=12 i lp=85100</v>
      </c>
      <c r="R73" s="19" t="str">
        <f t="shared" si="24"/>
        <v>rokwzgl=13 i lp=85100</v>
      </c>
      <c r="S73" s="19" t="str">
        <f t="shared" si="24"/>
        <v>rokwzgl=14 i lp=85100</v>
      </c>
      <c r="T73" s="19" t="str">
        <f t="shared" si="24"/>
        <v>rokwzgl=15 i lp=85100</v>
      </c>
      <c r="U73" s="19" t="str">
        <f t="shared" si="24"/>
        <v>rokwzgl=16 i lp=85100</v>
      </c>
      <c r="V73" s="19" t="str">
        <f t="shared" si="24"/>
        <v>rokwzgl=17 i lp=85100</v>
      </c>
      <c r="W73" s="19" t="str">
        <f t="shared" si="24"/>
        <v>rokwzgl=18 i lp=85100</v>
      </c>
      <c r="X73" s="19" t="str">
        <f t="shared" si="25"/>
        <v>rokwzgl=19 i lp=85100</v>
      </c>
      <c r="Y73" s="19" t="str">
        <f t="shared" si="25"/>
        <v>rokwzgl=20 i lp=85100</v>
      </c>
      <c r="Z73" s="19" t="str">
        <f t="shared" si="25"/>
        <v>rokwzgl=21 i lp=85100</v>
      </c>
      <c r="AA73" s="19" t="str">
        <f t="shared" si="25"/>
        <v>rokwzgl=22 i lp=85100</v>
      </c>
      <c r="AB73" s="19" t="str">
        <f t="shared" si="25"/>
        <v>rokwzgl=23 i lp=85100</v>
      </c>
      <c r="AC73" s="19" t="str">
        <f t="shared" si="25"/>
        <v>rokwzgl=24 i lp=85100</v>
      </c>
      <c r="AD73" s="19" t="str">
        <f t="shared" si="25"/>
        <v>rokwzgl=25 i lp=85100</v>
      </c>
      <c r="AE73" s="19" t="str">
        <f t="shared" si="25"/>
        <v>rokwzgl=26 i lp=85100</v>
      </c>
      <c r="AF73" s="19" t="str">
        <f t="shared" si="25"/>
        <v>rokwzgl=27 i lp=85100</v>
      </c>
      <c r="AG73" s="19" t="str">
        <f t="shared" si="25"/>
        <v>rokwzgl=28 i lp=85100</v>
      </c>
      <c r="AH73" s="19" t="str">
        <f t="shared" si="25"/>
        <v>rokwzgl=29 i lp=85100</v>
      </c>
      <c r="AI73" s="19" t="str">
        <f t="shared" si="25"/>
        <v>rokwzgl=30 i lp=85100</v>
      </c>
      <c r="AJ73" s="19" t="str">
        <f t="shared" si="21"/>
        <v>rokwzgl=31 i lp=85100</v>
      </c>
      <c r="AK73" s="19" t="str">
        <f t="shared" si="21"/>
        <v>rokwzgl=32 i lp=85100</v>
      </c>
      <c r="AL73" s="19" t="str">
        <f t="shared" si="21"/>
        <v>rokwzgl=33 i lp=85100</v>
      </c>
      <c r="AM73" s="19" t="str">
        <f t="shared" si="21"/>
        <v>rokwzgl=34 i lp=85100</v>
      </c>
      <c r="AN73" s="19" t="str">
        <f t="shared" si="10"/>
        <v>rokwzgl=35 i lp=85100</v>
      </c>
      <c r="AO73" s="19" t="str">
        <f t="shared" si="10"/>
        <v>rokwzgl=36 i lp=85100</v>
      </c>
      <c r="AP73" s="19" t="str">
        <f t="shared" si="10"/>
        <v>rokwzgl=37 i lp=85100</v>
      </c>
      <c r="AQ73" s="19" t="str">
        <f t="shared" si="10"/>
        <v>rokwzgl=38 i lp=85100</v>
      </c>
      <c r="AR73" s="19" t="str">
        <f t="shared" si="10"/>
        <v>rokwzgl=39 i lp=85100</v>
      </c>
    </row>
    <row r="74" spans="1:44">
      <c r="A74" s="74">
        <v>86100</v>
      </c>
      <c r="B74" s="18" t="s">
        <v>585</v>
      </c>
      <c r="D74" s="19" t="str">
        <f t="shared" si="23"/>
        <v>rokwzgl=0 i lp=86100</v>
      </c>
      <c r="E74" s="19" t="str">
        <f t="shared" si="23"/>
        <v>rokwzgl=0 i lp=86100</v>
      </c>
      <c r="F74" s="19" t="str">
        <f t="shared" si="23"/>
        <v>rokwzgl=1 i lp=86100</v>
      </c>
      <c r="G74" s="19" t="str">
        <f t="shared" si="23"/>
        <v>rokwzgl=2 i lp=86100</v>
      </c>
      <c r="H74" s="19" t="str">
        <f t="shared" si="23"/>
        <v>rokwzgl=3 i lp=86100</v>
      </c>
      <c r="I74" s="19" t="str">
        <f t="shared" si="23"/>
        <v>rokwzgl=4 i lp=86100</v>
      </c>
      <c r="J74" s="19" t="str">
        <f t="shared" si="23"/>
        <v>rokwzgl=5 i lp=86100</v>
      </c>
      <c r="K74" s="19" t="str">
        <f t="shared" si="23"/>
        <v>rokwzgl=6 i lp=86100</v>
      </c>
      <c r="L74" s="19" t="str">
        <f t="shared" si="23"/>
        <v>rokwzgl=7 i lp=86100</v>
      </c>
      <c r="M74" s="19" t="str">
        <f t="shared" si="23"/>
        <v>rokwzgl=8 i lp=86100</v>
      </c>
      <c r="N74" s="19" t="str">
        <f t="shared" si="24"/>
        <v>rokwzgl=9 i lp=86100</v>
      </c>
      <c r="O74" s="19" t="str">
        <f t="shared" si="24"/>
        <v>rokwzgl=10 i lp=86100</v>
      </c>
      <c r="P74" s="19" t="str">
        <f t="shared" si="24"/>
        <v>rokwzgl=11 i lp=86100</v>
      </c>
      <c r="Q74" s="19" t="str">
        <f t="shared" si="24"/>
        <v>rokwzgl=12 i lp=86100</v>
      </c>
      <c r="R74" s="19" t="str">
        <f t="shared" si="24"/>
        <v>rokwzgl=13 i lp=86100</v>
      </c>
      <c r="S74" s="19" t="str">
        <f t="shared" si="24"/>
        <v>rokwzgl=14 i lp=86100</v>
      </c>
      <c r="T74" s="19" t="str">
        <f t="shared" si="24"/>
        <v>rokwzgl=15 i lp=86100</v>
      </c>
      <c r="U74" s="19" t="str">
        <f t="shared" si="24"/>
        <v>rokwzgl=16 i lp=86100</v>
      </c>
      <c r="V74" s="19" t="str">
        <f t="shared" si="24"/>
        <v>rokwzgl=17 i lp=86100</v>
      </c>
      <c r="W74" s="19" t="str">
        <f t="shared" si="24"/>
        <v>rokwzgl=18 i lp=86100</v>
      </c>
      <c r="X74" s="19" t="str">
        <f t="shared" si="25"/>
        <v>rokwzgl=19 i lp=86100</v>
      </c>
      <c r="Y74" s="19" t="str">
        <f t="shared" si="25"/>
        <v>rokwzgl=20 i lp=86100</v>
      </c>
      <c r="Z74" s="19" t="str">
        <f t="shared" si="25"/>
        <v>rokwzgl=21 i lp=86100</v>
      </c>
      <c r="AA74" s="19" t="str">
        <f t="shared" si="25"/>
        <v>rokwzgl=22 i lp=86100</v>
      </c>
      <c r="AB74" s="19" t="str">
        <f t="shared" si="25"/>
        <v>rokwzgl=23 i lp=86100</v>
      </c>
      <c r="AC74" s="19" t="str">
        <f t="shared" si="25"/>
        <v>rokwzgl=24 i lp=86100</v>
      </c>
      <c r="AD74" s="19" t="str">
        <f t="shared" si="25"/>
        <v>rokwzgl=25 i lp=86100</v>
      </c>
      <c r="AE74" s="19" t="str">
        <f t="shared" si="25"/>
        <v>rokwzgl=26 i lp=86100</v>
      </c>
      <c r="AF74" s="19" t="str">
        <f t="shared" si="25"/>
        <v>rokwzgl=27 i lp=86100</v>
      </c>
      <c r="AG74" s="19" t="str">
        <f t="shared" si="25"/>
        <v>rokwzgl=28 i lp=86100</v>
      </c>
      <c r="AH74" s="19" t="str">
        <f t="shared" si="25"/>
        <v>rokwzgl=29 i lp=86100</v>
      </c>
      <c r="AI74" s="19" t="str">
        <f t="shared" si="25"/>
        <v>rokwzgl=30 i lp=86100</v>
      </c>
      <c r="AJ74" s="19" t="str">
        <f t="shared" si="21"/>
        <v>rokwzgl=31 i lp=86100</v>
      </c>
      <c r="AK74" s="19" t="str">
        <f t="shared" si="21"/>
        <v>rokwzgl=32 i lp=86100</v>
      </c>
      <c r="AL74" s="19" t="str">
        <f t="shared" si="21"/>
        <v>rokwzgl=33 i lp=86100</v>
      </c>
      <c r="AM74" s="19" t="str">
        <f t="shared" si="21"/>
        <v>rokwzgl=34 i lp=86100</v>
      </c>
      <c r="AN74" s="19" t="str">
        <f t="shared" si="10"/>
        <v>rokwzgl=35 i lp=86100</v>
      </c>
      <c r="AO74" s="19" t="str">
        <f t="shared" si="10"/>
        <v>rokwzgl=36 i lp=86100</v>
      </c>
      <c r="AP74" s="19" t="str">
        <f t="shared" si="10"/>
        <v>rokwzgl=37 i lp=86100</v>
      </c>
      <c r="AQ74" s="19" t="str">
        <f t="shared" si="10"/>
        <v>rokwzgl=38 i lp=86100</v>
      </c>
      <c r="AR74" s="19" t="str">
        <f t="shared" si="10"/>
        <v>rokwzgl=39 i lp=86100</v>
      </c>
    </row>
    <row r="75" spans="1:44">
      <c r="A75" s="74">
        <v>87100</v>
      </c>
      <c r="B75" s="18" t="s">
        <v>586</v>
      </c>
      <c r="D75" s="19" t="str">
        <f t="shared" si="23"/>
        <v>rokwzgl=0 i lp=87100</v>
      </c>
      <c r="E75" s="19" t="str">
        <f t="shared" si="23"/>
        <v>rokwzgl=0 i lp=87100</v>
      </c>
      <c r="F75" s="19" t="str">
        <f t="shared" si="23"/>
        <v>rokwzgl=1 i lp=87100</v>
      </c>
      <c r="G75" s="19" t="str">
        <f t="shared" si="23"/>
        <v>rokwzgl=2 i lp=87100</v>
      </c>
      <c r="H75" s="19" t="str">
        <f t="shared" si="23"/>
        <v>rokwzgl=3 i lp=87100</v>
      </c>
      <c r="I75" s="19" t="str">
        <f t="shared" si="23"/>
        <v>rokwzgl=4 i lp=87100</v>
      </c>
      <c r="J75" s="19" t="str">
        <f t="shared" si="23"/>
        <v>rokwzgl=5 i lp=87100</v>
      </c>
      <c r="K75" s="19" t="str">
        <f t="shared" si="23"/>
        <v>rokwzgl=6 i lp=87100</v>
      </c>
      <c r="L75" s="19" t="str">
        <f t="shared" si="23"/>
        <v>rokwzgl=7 i lp=87100</v>
      </c>
      <c r="M75" s="19" t="str">
        <f t="shared" si="23"/>
        <v>rokwzgl=8 i lp=87100</v>
      </c>
      <c r="N75" s="19" t="str">
        <f t="shared" si="24"/>
        <v>rokwzgl=9 i lp=87100</v>
      </c>
      <c r="O75" s="19" t="str">
        <f t="shared" si="24"/>
        <v>rokwzgl=10 i lp=87100</v>
      </c>
      <c r="P75" s="19" t="str">
        <f t="shared" si="24"/>
        <v>rokwzgl=11 i lp=87100</v>
      </c>
      <c r="Q75" s="19" t="str">
        <f t="shared" si="24"/>
        <v>rokwzgl=12 i lp=87100</v>
      </c>
      <c r="R75" s="19" t="str">
        <f t="shared" si="24"/>
        <v>rokwzgl=13 i lp=87100</v>
      </c>
      <c r="S75" s="19" t="str">
        <f t="shared" si="24"/>
        <v>rokwzgl=14 i lp=87100</v>
      </c>
      <c r="T75" s="19" t="str">
        <f t="shared" si="24"/>
        <v>rokwzgl=15 i lp=87100</v>
      </c>
      <c r="U75" s="19" t="str">
        <f t="shared" si="24"/>
        <v>rokwzgl=16 i lp=87100</v>
      </c>
      <c r="V75" s="19" t="str">
        <f t="shared" si="24"/>
        <v>rokwzgl=17 i lp=87100</v>
      </c>
      <c r="W75" s="19" t="str">
        <f t="shared" si="24"/>
        <v>rokwzgl=18 i lp=87100</v>
      </c>
      <c r="X75" s="19" t="str">
        <f t="shared" si="25"/>
        <v>rokwzgl=19 i lp=87100</v>
      </c>
      <c r="Y75" s="19" t="str">
        <f t="shared" si="25"/>
        <v>rokwzgl=20 i lp=87100</v>
      </c>
      <c r="Z75" s="19" t="str">
        <f t="shared" si="25"/>
        <v>rokwzgl=21 i lp=87100</v>
      </c>
      <c r="AA75" s="19" t="str">
        <f t="shared" si="25"/>
        <v>rokwzgl=22 i lp=87100</v>
      </c>
      <c r="AB75" s="19" t="str">
        <f t="shared" si="25"/>
        <v>rokwzgl=23 i lp=87100</v>
      </c>
      <c r="AC75" s="19" t="str">
        <f t="shared" si="25"/>
        <v>rokwzgl=24 i lp=87100</v>
      </c>
      <c r="AD75" s="19" t="str">
        <f t="shared" si="25"/>
        <v>rokwzgl=25 i lp=87100</v>
      </c>
      <c r="AE75" s="19" t="str">
        <f t="shared" si="25"/>
        <v>rokwzgl=26 i lp=87100</v>
      </c>
      <c r="AF75" s="19" t="str">
        <f t="shared" si="25"/>
        <v>rokwzgl=27 i lp=87100</v>
      </c>
      <c r="AG75" s="19" t="str">
        <f t="shared" si="25"/>
        <v>rokwzgl=28 i lp=87100</v>
      </c>
      <c r="AH75" s="19" t="str">
        <f t="shared" si="25"/>
        <v>rokwzgl=29 i lp=87100</v>
      </c>
      <c r="AI75" s="19" t="str">
        <f t="shared" si="25"/>
        <v>rokwzgl=30 i lp=87100</v>
      </c>
      <c r="AJ75" s="19" t="str">
        <f t="shared" si="21"/>
        <v>rokwzgl=31 i lp=87100</v>
      </c>
      <c r="AK75" s="19" t="str">
        <f t="shared" si="21"/>
        <v>rokwzgl=32 i lp=87100</v>
      </c>
      <c r="AL75" s="19" t="str">
        <f t="shared" si="21"/>
        <v>rokwzgl=33 i lp=87100</v>
      </c>
      <c r="AM75" s="19" t="str">
        <f t="shared" si="21"/>
        <v>rokwzgl=34 i lp=87100</v>
      </c>
      <c r="AN75" s="19" t="str">
        <f t="shared" si="10"/>
        <v>rokwzgl=35 i lp=87100</v>
      </c>
      <c r="AO75" s="19" t="str">
        <f t="shared" si="10"/>
        <v>rokwzgl=36 i lp=87100</v>
      </c>
      <c r="AP75" s="19" t="str">
        <f t="shared" si="10"/>
        <v>rokwzgl=37 i lp=87100</v>
      </c>
      <c r="AQ75" s="19" t="str">
        <f t="shared" si="10"/>
        <v>rokwzgl=38 i lp=87100</v>
      </c>
      <c r="AR75" s="19" t="str">
        <f t="shared" si="10"/>
        <v>rokwzgl=39 i lp=87100</v>
      </c>
    </row>
    <row r="76" spans="1:44">
      <c r="A76" s="74">
        <v>87110</v>
      </c>
      <c r="B76" s="18" t="s">
        <v>587</v>
      </c>
      <c r="D76" s="19" t="str">
        <f>+"rokwzgl="&amp;D$9&amp;" i lp="&amp;$A76</f>
        <v>rokwzgl=0 i lp=87110</v>
      </c>
      <c r="E76" s="19" t="str">
        <f>+"rokwzgl="&amp;E$9&amp;" i lp="&amp;$A76</f>
        <v>rokwzgl=0 i lp=87110</v>
      </c>
      <c r="F76" s="19" t="str">
        <f>+"rokwzgl="&amp;F$9&amp;" i lp="&amp;$A76</f>
        <v>rokwzgl=1 i lp=87110</v>
      </c>
      <c r="G76" s="19" t="str">
        <f>+"rokwzgl="&amp;G$9&amp;" i lp="&amp;$A76</f>
        <v>rokwzgl=2 i lp=87110</v>
      </c>
      <c r="H76" s="19" t="str">
        <f t="shared" ref="D76:M101" si="26">+"rokwzgl="&amp;H$9&amp;" i lp="&amp;$A76</f>
        <v>rokwzgl=3 i lp=87110</v>
      </c>
      <c r="I76" s="19" t="str">
        <f t="shared" si="26"/>
        <v>rokwzgl=4 i lp=87110</v>
      </c>
      <c r="J76" s="19" t="str">
        <f t="shared" si="26"/>
        <v>rokwzgl=5 i lp=87110</v>
      </c>
      <c r="K76" s="19" t="str">
        <f t="shared" si="26"/>
        <v>rokwzgl=6 i lp=87110</v>
      </c>
      <c r="L76" s="19" t="str">
        <f t="shared" si="26"/>
        <v>rokwzgl=7 i lp=87110</v>
      </c>
      <c r="M76" s="19" t="str">
        <f t="shared" si="26"/>
        <v>rokwzgl=8 i lp=87110</v>
      </c>
      <c r="N76" s="19" t="str">
        <f t="shared" ref="N76:W76" si="27">+"rokwzgl="&amp;N$9&amp;" i lp="&amp;$A76</f>
        <v>rokwzgl=9 i lp=87110</v>
      </c>
      <c r="O76" s="19" t="str">
        <f t="shared" si="27"/>
        <v>rokwzgl=10 i lp=87110</v>
      </c>
      <c r="P76" s="19" t="str">
        <f t="shared" si="27"/>
        <v>rokwzgl=11 i lp=87110</v>
      </c>
      <c r="Q76" s="19" t="str">
        <f t="shared" si="27"/>
        <v>rokwzgl=12 i lp=87110</v>
      </c>
      <c r="R76" s="19" t="str">
        <f t="shared" si="27"/>
        <v>rokwzgl=13 i lp=87110</v>
      </c>
      <c r="S76" s="19" t="str">
        <f t="shared" si="27"/>
        <v>rokwzgl=14 i lp=87110</v>
      </c>
      <c r="T76" s="19" t="str">
        <f t="shared" si="27"/>
        <v>rokwzgl=15 i lp=87110</v>
      </c>
      <c r="U76" s="19" t="str">
        <f t="shared" si="27"/>
        <v>rokwzgl=16 i lp=87110</v>
      </c>
      <c r="V76" s="19" t="str">
        <f t="shared" si="27"/>
        <v>rokwzgl=17 i lp=87110</v>
      </c>
      <c r="W76" s="19" t="str">
        <f t="shared" si="27"/>
        <v>rokwzgl=18 i lp=87110</v>
      </c>
      <c r="X76" s="19" t="str">
        <f t="shared" si="25"/>
        <v>rokwzgl=19 i lp=87110</v>
      </c>
      <c r="Y76" s="19" t="str">
        <f t="shared" si="25"/>
        <v>rokwzgl=20 i lp=87110</v>
      </c>
      <c r="Z76" s="19" t="str">
        <f t="shared" si="25"/>
        <v>rokwzgl=21 i lp=87110</v>
      </c>
      <c r="AA76" s="19" t="str">
        <f t="shared" si="25"/>
        <v>rokwzgl=22 i lp=87110</v>
      </c>
      <c r="AB76" s="19" t="str">
        <f t="shared" si="25"/>
        <v>rokwzgl=23 i lp=87110</v>
      </c>
      <c r="AC76" s="19" t="str">
        <f t="shared" si="25"/>
        <v>rokwzgl=24 i lp=87110</v>
      </c>
      <c r="AD76" s="19" t="str">
        <f t="shared" si="25"/>
        <v>rokwzgl=25 i lp=87110</v>
      </c>
      <c r="AE76" s="19" t="str">
        <f t="shared" si="25"/>
        <v>rokwzgl=26 i lp=87110</v>
      </c>
      <c r="AF76" s="19" t="str">
        <f t="shared" si="25"/>
        <v>rokwzgl=27 i lp=87110</v>
      </c>
      <c r="AG76" s="19" t="str">
        <f t="shared" si="25"/>
        <v>rokwzgl=28 i lp=87110</v>
      </c>
      <c r="AH76" s="19" t="str">
        <f t="shared" si="25"/>
        <v>rokwzgl=29 i lp=87110</v>
      </c>
      <c r="AI76" s="19" t="str">
        <f t="shared" si="25"/>
        <v>rokwzgl=30 i lp=87110</v>
      </c>
      <c r="AJ76" s="19" t="str">
        <f t="shared" si="21"/>
        <v>rokwzgl=31 i lp=87110</v>
      </c>
      <c r="AK76" s="19" t="str">
        <f t="shared" si="21"/>
        <v>rokwzgl=32 i lp=87110</v>
      </c>
      <c r="AL76" s="19" t="str">
        <f t="shared" si="21"/>
        <v>rokwzgl=33 i lp=87110</v>
      </c>
      <c r="AM76" s="19" t="str">
        <f t="shared" si="21"/>
        <v>rokwzgl=34 i lp=87110</v>
      </c>
      <c r="AN76" s="19" t="str">
        <f t="shared" si="10"/>
        <v>rokwzgl=35 i lp=87110</v>
      </c>
      <c r="AO76" s="19" t="str">
        <f t="shared" si="10"/>
        <v>rokwzgl=36 i lp=87110</v>
      </c>
      <c r="AP76" s="19" t="str">
        <f t="shared" si="10"/>
        <v>rokwzgl=37 i lp=87110</v>
      </c>
      <c r="AQ76" s="19" t="str">
        <f t="shared" si="10"/>
        <v>rokwzgl=38 i lp=87110</v>
      </c>
      <c r="AR76" s="19" t="str">
        <f t="shared" si="10"/>
        <v>rokwzgl=39 i lp=87110</v>
      </c>
    </row>
    <row r="77" spans="1:44">
      <c r="A77" s="74">
        <v>90000</v>
      </c>
      <c r="B77" s="18">
        <v>9</v>
      </c>
      <c r="C77" s="19" t="s">
        <v>233</v>
      </c>
      <c r="D77" s="19" t="str">
        <f t="shared" si="26"/>
        <v>rokwzgl=0 i lp=90000</v>
      </c>
      <c r="E77" s="19" t="str">
        <f t="shared" si="26"/>
        <v>rokwzgl=0 i lp=90000</v>
      </c>
      <c r="F77" s="19" t="str">
        <f t="shared" si="26"/>
        <v>rokwzgl=1 i lp=90000</v>
      </c>
      <c r="G77" s="19" t="str">
        <f t="shared" si="26"/>
        <v>rokwzgl=2 i lp=90000</v>
      </c>
      <c r="H77" s="19" t="str">
        <f t="shared" si="26"/>
        <v>rokwzgl=3 i lp=90000</v>
      </c>
      <c r="I77" s="19" t="str">
        <f t="shared" si="26"/>
        <v>rokwzgl=4 i lp=90000</v>
      </c>
      <c r="J77" s="19" t="str">
        <f t="shared" si="26"/>
        <v>rokwzgl=5 i lp=90000</v>
      </c>
      <c r="K77" s="19" t="str">
        <f t="shared" si="26"/>
        <v>rokwzgl=6 i lp=90000</v>
      </c>
      <c r="L77" s="19" t="str">
        <f t="shared" si="26"/>
        <v>rokwzgl=7 i lp=90000</v>
      </c>
      <c r="M77" s="19" t="str">
        <f t="shared" si="26"/>
        <v>rokwzgl=8 i lp=90000</v>
      </c>
      <c r="N77" s="19" t="str">
        <f t="shared" ref="N77:S77" si="28">+"rokwzgl="&amp;N$9&amp;" i lp="&amp;$A77</f>
        <v>rokwzgl=9 i lp=90000</v>
      </c>
      <c r="O77" s="19" t="str">
        <f t="shared" si="28"/>
        <v>rokwzgl=10 i lp=90000</v>
      </c>
      <c r="P77" s="19" t="str">
        <f t="shared" si="28"/>
        <v>rokwzgl=11 i lp=90000</v>
      </c>
      <c r="Q77" s="19" t="str">
        <f t="shared" si="28"/>
        <v>rokwzgl=12 i lp=90000</v>
      </c>
      <c r="R77" s="19" t="str">
        <f t="shared" si="28"/>
        <v>rokwzgl=13 i lp=90000</v>
      </c>
      <c r="S77" s="19" t="str">
        <f t="shared" si="28"/>
        <v>rokwzgl=14 i lp=90000</v>
      </c>
      <c r="T77" s="19" t="str">
        <f t="shared" ref="N77:W103" si="29">+"rokwzgl="&amp;T$9&amp;" i lp="&amp;$A77</f>
        <v>rokwzgl=15 i lp=90000</v>
      </c>
      <c r="U77" s="19" t="str">
        <f t="shared" si="29"/>
        <v>rokwzgl=16 i lp=90000</v>
      </c>
      <c r="V77" s="19" t="str">
        <f t="shared" si="29"/>
        <v>rokwzgl=17 i lp=90000</v>
      </c>
      <c r="W77" s="19" t="str">
        <f t="shared" si="29"/>
        <v>rokwzgl=18 i lp=90000</v>
      </c>
      <c r="X77" s="19" t="str">
        <f t="shared" si="25"/>
        <v>rokwzgl=19 i lp=90000</v>
      </c>
      <c r="Y77" s="19" t="str">
        <f t="shared" si="25"/>
        <v>rokwzgl=20 i lp=90000</v>
      </c>
      <c r="Z77" s="19" t="str">
        <f t="shared" si="25"/>
        <v>rokwzgl=21 i lp=90000</v>
      </c>
      <c r="AA77" s="19" t="str">
        <f t="shared" si="25"/>
        <v>rokwzgl=22 i lp=90000</v>
      </c>
      <c r="AB77" s="19" t="str">
        <f t="shared" si="25"/>
        <v>rokwzgl=23 i lp=90000</v>
      </c>
      <c r="AC77" s="19" t="str">
        <f t="shared" si="25"/>
        <v>rokwzgl=24 i lp=90000</v>
      </c>
      <c r="AD77" s="19" t="str">
        <f t="shared" si="25"/>
        <v>rokwzgl=25 i lp=90000</v>
      </c>
      <c r="AE77" s="19" t="str">
        <f t="shared" si="25"/>
        <v>rokwzgl=26 i lp=90000</v>
      </c>
      <c r="AF77" s="19" t="str">
        <f t="shared" si="25"/>
        <v>rokwzgl=27 i lp=90000</v>
      </c>
      <c r="AG77" s="19" t="str">
        <f t="shared" si="25"/>
        <v>rokwzgl=28 i lp=90000</v>
      </c>
      <c r="AH77" s="19" t="str">
        <f t="shared" si="25"/>
        <v>rokwzgl=29 i lp=90000</v>
      </c>
      <c r="AI77" s="19" t="str">
        <f t="shared" si="25"/>
        <v>rokwzgl=30 i lp=90000</v>
      </c>
      <c r="AJ77" s="19" t="str">
        <f t="shared" si="21"/>
        <v>rokwzgl=31 i lp=90000</v>
      </c>
      <c r="AK77" s="19" t="str">
        <f t="shared" si="21"/>
        <v>rokwzgl=32 i lp=90000</v>
      </c>
      <c r="AL77" s="19" t="str">
        <f t="shared" si="21"/>
        <v>rokwzgl=33 i lp=90000</v>
      </c>
      <c r="AM77" s="19" t="str">
        <f t="shared" si="21"/>
        <v>rokwzgl=34 i lp=90000</v>
      </c>
      <c r="AN77" s="19" t="str">
        <f t="shared" ref="AN77:AR116" si="30">+"rokwzgl="&amp;AN$9&amp;" i lp="&amp;$A77</f>
        <v>rokwzgl=35 i lp=90000</v>
      </c>
      <c r="AO77" s="19" t="str">
        <f t="shared" si="30"/>
        <v>rokwzgl=36 i lp=90000</v>
      </c>
      <c r="AP77" s="19" t="str">
        <f t="shared" si="30"/>
        <v>rokwzgl=37 i lp=90000</v>
      </c>
      <c r="AQ77" s="19" t="str">
        <f t="shared" si="30"/>
        <v>rokwzgl=38 i lp=90000</v>
      </c>
      <c r="AR77" s="19" t="str">
        <f t="shared" si="30"/>
        <v>rokwzgl=39 i lp=90000</v>
      </c>
    </row>
    <row r="78" spans="1:44">
      <c r="A78" s="74">
        <v>91000</v>
      </c>
      <c r="B78" s="18" t="s">
        <v>66</v>
      </c>
      <c r="C78" s="19" t="s">
        <v>234</v>
      </c>
      <c r="D78" s="19" t="str">
        <f t="shared" si="26"/>
        <v>rokwzgl=0 i lp=91000</v>
      </c>
      <c r="E78" s="19" t="str">
        <f t="shared" si="26"/>
        <v>rokwzgl=0 i lp=91000</v>
      </c>
      <c r="F78" s="19" t="str">
        <f t="shared" si="26"/>
        <v>rokwzgl=1 i lp=91000</v>
      </c>
      <c r="G78" s="19" t="str">
        <f t="shared" si="26"/>
        <v>rokwzgl=2 i lp=91000</v>
      </c>
      <c r="H78" s="19" t="str">
        <f t="shared" si="26"/>
        <v>rokwzgl=3 i lp=91000</v>
      </c>
      <c r="I78" s="19" t="str">
        <f t="shared" si="26"/>
        <v>rokwzgl=4 i lp=91000</v>
      </c>
      <c r="J78" s="19" t="str">
        <f t="shared" si="26"/>
        <v>rokwzgl=5 i lp=91000</v>
      </c>
      <c r="K78" s="19" t="str">
        <f t="shared" si="26"/>
        <v>rokwzgl=6 i lp=91000</v>
      </c>
      <c r="L78" s="19" t="str">
        <f t="shared" si="26"/>
        <v>rokwzgl=7 i lp=91000</v>
      </c>
      <c r="M78" s="19" t="str">
        <f t="shared" si="26"/>
        <v>rokwzgl=8 i lp=91000</v>
      </c>
      <c r="N78" s="19" t="str">
        <f t="shared" si="29"/>
        <v>rokwzgl=9 i lp=91000</v>
      </c>
      <c r="O78" s="19" t="str">
        <f t="shared" si="29"/>
        <v>rokwzgl=10 i lp=91000</v>
      </c>
      <c r="P78" s="19" t="str">
        <f t="shared" si="29"/>
        <v>rokwzgl=11 i lp=91000</v>
      </c>
      <c r="Q78" s="19" t="str">
        <f t="shared" si="29"/>
        <v>rokwzgl=12 i lp=91000</v>
      </c>
      <c r="R78" s="19" t="str">
        <f t="shared" si="29"/>
        <v>rokwzgl=13 i lp=91000</v>
      </c>
      <c r="S78" s="19" t="str">
        <f t="shared" si="29"/>
        <v>rokwzgl=14 i lp=91000</v>
      </c>
      <c r="T78" s="19" t="str">
        <f t="shared" si="29"/>
        <v>rokwzgl=15 i lp=91000</v>
      </c>
      <c r="U78" s="19" t="str">
        <f t="shared" si="29"/>
        <v>rokwzgl=16 i lp=91000</v>
      </c>
      <c r="V78" s="19" t="str">
        <f t="shared" si="29"/>
        <v>rokwzgl=17 i lp=91000</v>
      </c>
      <c r="W78" s="19" t="str">
        <f t="shared" si="29"/>
        <v>rokwzgl=18 i lp=91000</v>
      </c>
      <c r="X78" s="19" t="str">
        <f t="shared" si="25"/>
        <v>rokwzgl=19 i lp=91000</v>
      </c>
      <c r="Y78" s="19" t="str">
        <f t="shared" si="25"/>
        <v>rokwzgl=20 i lp=91000</v>
      </c>
      <c r="Z78" s="19" t="str">
        <f t="shared" si="25"/>
        <v>rokwzgl=21 i lp=91000</v>
      </c>
      <c r="AA78" s="19" t="str">
        <f t="shared" si="25"/>
        <v>rokwzgl=22 i lp=91000</v>
      </c>
      <c r="AB78" s="19" t="str">
        <f t="shared" si="25"/>
        <v>rokwzgl=23 i lp=91000</v>
      </c>
      <c r="AC78" s="19" t="str">
        <f t="shared" si="25"/>
        <v>rokwzgl=24 i lp=91000</v>
      </c>
      <c r="AD78" s="19" t="str">
        <f t="shared" si="25"/>
        <v>rokwzgl=25 i lp=91000</v>
      </c>
      <c r="AE78" s="19" t="str">
        <f t="shared" si="25"/>
        <v>rokwzgl=26 i lp=91000</v>
      </c>
      <c r="AF78" s="19" t="str">
        <f t="shared" si="25"/>
        <v>rokwzgl=27 i lp=91000</v>
      </c>
      <c r="AG78" s="19" t="str">
        <f t="shared" si="25"/>
        <v>rokwzgl=28 i lp=91000</v>
      </c>
      <c r="AH78" s="19" t="str">
        <f t="shared" si="25"/>
        <v>rokwzgl=29 i lp=91000</v>
      </c>
      <c r="AI78" s="19" t="str">
        <f t="shared" si="25"/>
        <v>rokwzgl=30 i lp=91000</v>
      </c>
      <c r="AJ78" s="19" t="str">
        <f t="shared" si="21"/>
        <v>rokwzgl=31 i lp=91000</v>
      </c>
      <c r="AK78" s="19" t="str">
        <f t="shared" si="21"/>
        <v>rokwzgl=32 i lp=91000</v>
      </c>
      <c r="AL78" s="19" t="str">
        <f t="shared" si="21"/>
        <v>rokwzgl=33 i lp=91000</v>
      </c>
      <c r="AM78" s="19" t="str">
        <f t="shared" si="21"/>
        <v>rokwzgl=34 i lp=91000</v>
      </c>
      <c r="AN78" s="19" t="str">
        <f t="shared" si="30"/>
        <v>rokwzgl=35 i lp=91000</v>
      </c>
      <c r="AO78" s="19" t="str">
        <f t="shared" si="30"/>
        <v>rokwzgl=36 i lp=91000</v>
      </c>
      <c r="AP78" s="19" t="str">
        <f t="shared" si="30"/>
        <v>rokwzgl=37 i lp=91000</v>
      </c>
      <c r="AQ78" s="19" t="str">
        <f t="shared" si="30"/>
        <v>rokwzgl=38 i lp=91000</v>
      </c>
      <c r="AR78" s="19" t="str">
        <f t="shared" si="30"/>
        <v>rokwzgl=39 i lp=91000</v>
      </c>
    </row>
    <row r="79" spans="1:44">
      <c r="A79" s="74">
        <v>91100</v>
      </c>
      <c r="B79" s="18" t="s">
        <v>283</v>
      </c>
      <c r="C79" s="19" t="s">
        <v>235</v>
      </c>
      <c r="D79" s="19" t="str">
        <f t="shared" si="26"/>
        <v>rokwzgl=0 i lp=91100</v>
      </c>
      <c r="E79" s="19" t="str">
        <f t="shared" si="26"/>
        <v>rokwzgl=0 i lp=91100</v>
      </c>
      <c r="F79" s="19" t="str">
        <f t="shared" si="26"/>
        <v>rokwzgl=1 i lp=91100</v>
      </c>
      <c r="G79" s="19" t="str">
        <f t="shared" si="26"/>
        <v>rokwzgl=2 i lp=91100</v>
      </c>
      <c r="H79" s="19" t="str">
        <f t="shared" si="26"/>
        <v>rokwzgl=3 i lp=91100</v>
      </c>
      <c r="I79" s="19" t="str">
        <f t="shared" si="26"/>
        <v>rokwzgl=4 i lp=91100</v>
      </c>
      <c r="J79" s="19" t="str">
        <f t="shared" si="26"/>
        <v>rokwzgl=5 i lp=91100</v>
      </c>
      <c r="K79" s="19" t="str">
        <f t="shared" si="26"/>
        <v>rokwzgl=6 i lp=91100</v>
      </c>
      <c r="L79" s="19" t="str">
        <f t="shared" si="26"/>
        <v>rokwzgl=7 i lp=91100</v>
      </c>
      <c r="M79" s="19" t="str">
        <f t="shared" si="26"/>
        <v>rokwzgl=8 i lp=91100</v>
      </c>
      <c r="N79" s="19" t="str">
        <f t="shared" si="29"/>
        <v>rokwzgl=9 i lp=91100</v>
      </c>
      <c r="O79" s="19" t="str">
        <f t="shared" si="29"/>
        <v>rokwzgl=10 i lp=91100</v>
      </c>
      <c r="P79" s="19" t="str">
        <f t="shared" si="29"/>
        <v>rokwzgl=11 i lp=91100</v>
      </c>
      <c r="Q79" s="19" t="str">
        <f t="shared" si="29"/>
        <v>rokwzgl=12 i lp=91100</v>
      </c>
      <c r="R79" s="19" t="str">
        <f t="shared" si="29"/>
        <v>rokwzgl=13 i lp=91100</v>
      </c>
      <c r="S79" s="19" t="str">
        <f t="shared" si="29"/>
        <v>rokwzgl=14 i lp=91100</v>
      </c>
      <c r="T79" s="19" t="str">
        <f t="shared" si="29"/>
        <v>rokwzgl=15 i lp=91100</v>
      </c>
      <c r="U79" s="19" t="str">
        <f t="shared" si="29"/>
        <v>rokwzgl=16 i lp=91100</v>
      </c>
      <c r="V79" s="19" t="str">
        <f t="shared" si="29"/>
        <v>rokwzgl=17 i lp=91100</v>
      </c>
      <c r="W79" s="19" t="str">
        <f t="shared" si="29"/>
        <v>rokwzgl=18 i lp=91100</v>
      </c>
      <c r="X79" s="19" t="str">
        <f t="shared" si="25"/>
        <v>rokwzgl=19 i lp=91100</v>
      </c>
      <c r="Y79" s="19" t="str">
        <f t="shared" si="25"/>
        <v>rokwzgl=20 i lp=91100</v>
      </c>
      <c r="Z79" s="19" t="str">
        <f t="shared" si="25"/>
        <v>rokwzgl=21 i lp=91100</v>
      </c>
      <c r="AA79" s="19" t="str">
        <f t="shared" si="25"/>
        <v>rokwzgl=22 i lp=91100</v>
      </c>
      <c r="AB79" s="19" t="str">
        <f t="shared" si="25"/>
        <v>rokwzgl=23 i lp=91100</v>
      </c>
      <c r="AC79" s="19" t="str">
        <f t="shared" si="25"/>
        <v>rokwzgl=24 i lp=91100</v>
      </c>
      <c r="AD79" s="19" t="str">
        <f t="shared" si="25"/>
        <v>rokwzgl=25 i lp=91100</v>
      </c>
      <c r="AE79" s="19" t="str">
        <f t="shared" si="25"/>
        <v>rokwzgl=26 i lp=91100</v>
      </c>
      <c r="AF79" s="19" t="str">
        <f t="shared" si="25"/>
        <v>rokwzgl=27 i lp=91100</v>
      </c>
      <c r="AG79" s="19" t="str">
        <f t="shared" si="25"/>
        <v>rokwzgl=28 i lp=91100</v>
      </c>
      <c r="AH79" s="19" t="str">
        <f t="shared" si="25"/>
        <v>rokwzgl=29 i lp=91100</v>
      </c>
      <c r="AI79" s="19" t="str">
        <f t="shared" si="25"/>
        <v>rokwzgl=30 i lp=91100</v>
      </c>
      <c r="AJ79" s="19" t="str">
        <f t="shared" ref="AJ79:AM98" si="31">+"rokwzgl="&amp;AJ$9&amp;" i lp="&amp;$A79</f>
        <v>rokwzgl=31 i lp=91100</v>
      </c>
      <c r="AK79" s="19" t="str">
        <f t="shared" si="31"/>
        <v>rokwzgl=32 i lp=91100</v>
      </c>
      <c r="AL79" s="19" t="str">
        <f t="shared" si="31"/>
        <v>rokwzgl=33 i lp=91100</v>
      </c>
      <c r="AM79" s="19" t="str">
        <f t="shared" si="31"/>
        <v>rokwzgl=34 i lp=91100</v>
      </c>
      <c r="AN79" s="19" t="str">
        <f t="shared" si="30"/>
        <v>rokwzgl=35 i lp=91100</v>
      </c>
      <c r="AO79" s="19" t="str">
        <f t="shared" si="30"/>
        <v>rokwzgl=36 i lp=91100</v>
      </c>
      <c r="AP79" s="19" t="str">
        <f t="shared" si="30"/>
        <v>rokwzgl=37 i lp=91100</v>
      </c>
      <c r="AQ79" s="19" t="str">
        <f t="shared" si="30"/>
        <v>rokwzgl=38 i lp=91100</v>
      </c>
      <c r="AR79" s="19" t="str">
        <f t="shared" si="30"/>
        <v>rokwzgl=39 i lp=91100</v>
      </c>
    </row>
    <row r="80" spans="1:44">
      <c r="A80" s="74">
        <v>91110</v>
      </c>
      <c r="B80" s="18" t="s">
        <v>284</v>
      </c>
      <c r="C80" s="19" t="s">
        <v>236</v>
      </c>
      <c r="D80" s="19" t="str">
        <f t="shared" si="26"/>
        <v>rokwzgl=0 i lp=91110</v>
      </c>
      <c r="E80" s="19" t="str">
        <f t="shared" si="26"/>
        <v>rokwzgl=0 i lp=91110</v>
      </c>
      <c r="F80" s="19" t="str">
        <f t="shared" si="26"/>
        <v>rokwzgl=1 i lp=91110</v>
      </c>
      <c r="G80" s="19" t="str">
        <f t="shared" si="26"/>
        <v>rokwzgl=2 i lp=91110</v>
      </c>
      <c r="H80" s="19" t="str">
        <f t="shared" si="26"/>
        <v>rokwzgl=3 i lp=91110</v>
      </c>
      <c r="I80" s="19" t="str">
        <f t="shared" si="26"/>
        <v>rokwzgl=4 i lp=91110</v>
      </c>
      <c r="J80" s="19" t="str">
        <f t="shared" si="26"/>
        <v>rokwzgl=5 i lp=91110</v>
      </c>
      <c r="K80" s="19" t="str">
        <f t="shared" si="26"/>
        <v>rokwzgl=6 i lp=91110</v>
      </c>
      <c r="L80" s="19" t="str">
        <f t="shared" si="26"/>
        <v>rokwzgl=7 i lp=91110</v>
      </c>
      <c r="M80" s="19" t="str">
        <f t="shared" si="26"/>
        <v>rokwzgl=8 i lp=91110</v>
      </c>
      <c r="N80" s="19" t="str">
        <f t="shared" si="29"/>
        <v>rokwzgl=9 i lp=91110</v>
      </c>
      <c r="O80" s="19" t="str">
        <f t="shared" si="29"/>
        <v>rokwzgl=10 i lp=91110</v>
      </c>
      <c r="P80" s="19" t="str">
        <f t="shared" si="29"/>
        <v>rokwzgl=11 i lp=91110</v>
      </c>
      <c r="Q80" s="19" t="str">
        <f t="shared" si="29"/>
        <v>rokwzgl=12 i lp=91110</v>
      </c>
      <c r="R80" s="19" t="str">
        <f t="shared" si="29"/>
        <v>rokwzgl=13 i lp=91110</v>
      </c>
      <c r="S80" s="19" t="str">
        <f t="shared" si="29"/>
        <v>rokwzgl=14 i lp=91110</v>
      </c>
      <c r="T80" s="19" t="str">
        <f t="shared" si="29"/>
        <v>rokwzgl=15 i lp=91110</v>
      </c>
      <c r="U80" s="19" t="str">
        <f t="shared" si="29"/>
        <v>rokwzgl=16 i lp=91110</v>
      </c>
      <c r="V80" s="19" t="str">
        <f t="shared" si="29"/>
        <v>rokwzgl=17 i lp=91110</v>
      </c>
      <c r="W80" s="19" t="str">
        <f t="shared" si="29"/>
        <v>rokwzgl=18 i lp=91110</v>
      </c>
      <c r="X80" s="19" t="str">
        <f t="shared" ref="X80:AI89" si="32">+"rokwzgl="&amp;X$9&amp;" i lp="&amp;$A80</f>
        <v>rokwzgl=19 i lp=91110</v>
      </c>
      <c r="Y80" s="19" t="str">
        <f t="shared" si="32"/>
        <v>rokwzgl=20 i lp=91110</v>
      </c>
      <c r="Z80" s="19" t="str">
        <f t="shared" si="32"/>
        <v>rokwzgl=21 i lp=91110</v>
      </c>
      <c r="AA80" s="19" t="str">
        <f t="shared" si="32"/>
        <v>rokwzgl=22 i lp=91110</v>
      </c>
      <c r="AB80" s="19" t="str">
        <f t="shared" si="32"/>
        <v>rokwzgl=23 i lp=91110</v>
      </c>
      <c r="AC80" s="19" t="str">
        <f t="shared" si="32"/>
        <v>rokwzgl=24 i lp=91110</v>
      </c>
      <c r="AD80" s="19" t="str">
        <f t="shared" si="32"/>
        <v>rokwzgl=25 i lp=91110</v>
      </c>
      <c r="AE80" s="19" t="str">
        <f t="shared" si="32"/>
        <v>rokwzgl=26 i lp=91110</v>
      </c>
      <c r="AF80" s="19" t="str">
        <f t="shared" si="32"/>
        <v>rokwzgl=27 i lp=91110</v>
      </c>
      <c r="AG80" s="19" t="str">
        <f t="shared" si="32"/>
        <v>rokwzgl=28 i lp=91110</v>
      </c>
      <c r="AH80" s="19" t="str">
        <f t="shared" si="32"/>
        <v>rokwzgl=29 i lp=91110</v>
      </c>
      <c r="AI80" s="19" t="str">
        <f t="shared" si="32"/>
        <v>rokwzgl=30 i lp=91110</v>
      </c>
      <c r="AJ80" s="19" t="str">
        <f t="shared" si="31"/>
        <v>rokwzgl=31 i lp=91110</v>
      </c>
      <c r="AK80" s="19" t="str">
        <f t="shared" si="31"/>
        <v>rokwzgl=32 i lp=91110</v>
      </c>
      <c r="AL80" s="19" t="str">
        <f t="shared" si="31"/>
        <v>rokwzgl=33 i lp=91110</v>
      </c>
      <c r="AM80" s="19" t="str">
        <f t="shared" si="31"/>
        <v>rokwzgl=34 i lp=91110</v>
      </c>
      <c r="AN80" s="19" t="str">
        <f t="shared" si="30"/>
        <v>rokwzgl=35 i lp=91110</v>
      </c>
      <c r="AO80" s="19" t="str">
        <f t="shared" si="30"/>
        <v>rokwzgl=36 i lp=91110</v>
      </c>
      <c r="AP80" s="19" t="str">
        <f t="shared" si="30"/>
        <v>rokwzgl=37 i lp=91110</v>
      </c>
      <c r="AQ80" s="19" t="str">
        <f t="shared" si="30"/>
        <v>rokwzgl=38 i lp=91110</v>
      </c>
      <c r="AR80" s="19" t="str">
        <f t="shared" si="30"/>
        <v>rokwzgl=39 i lp=91110</v>
      </c>
    </row>
    <row r="81" spans="1:44">
      <c r="A81" s="74">
        <v>92000</v>
      </c>
      <c r="B81" s="18" t="s">
        <v>67</v>
      </c>
      <c r="C81" s="19" t="s">
        <v>237</v>
      </c>
      <c r="D81" s="19" t="str">
        <f t="shared" si="26"/>
        <v>rokwzgl=0 i lp=92000</v>
      </c>
      <c r="E81" s="19" t="str">
        <f t="shared" si="26"/>
        <v>rokwzgl=0 i lp=92000</v>
      </c>
      <c r="F81" s="19" t="str">
        <f t="shared" si="26"/>
        <v>rokwzgl=1 i lp=92000</v>
      </c>
      <c r="G81" s="19" t="str">
        <f t="shared" si="26"/>
        <v>rokwzgl=2 i lp=92000</v>
      </c>
      <c r="H81" s="19" t="str">
        <f t="shared" si="26"/>
        <v>rokwzgl=3 i lp=92000</v>
      </c>
      <c r="I81" s="19" t="str">
        <f t="shared" si="26"/>
        <v>rokwzgl=4 i lp=92000</v>
      </c>
      <c r="J81" s="19" t="str">
        <f t="shared" si="26"/>
        <v>rokwzgl=5 i lp=92000</v>
      </c>
      <c r="K81" s="19" t="str">
        <f t="shared" si="26"/>
        <v>rokwzgl=6 i lp=92000</v>
      </c>
      <c r="L81" s="19" t="str">
        <f t="shared" si="26"/>
        <v>rokwzgl=7 i lp=92000</v>
      </c>
      <c r="M81" s="19" t="str">
        <f t="shared" si="26"/>
        <v>rokwzgl=8 i lp=92000</v>
      </c>
      <c r="N81" s="19" t="str">
        <f t="shared" si="29"/>
        <v>rokwzgl=9 i lp=92000</v>
      </c>
      <c r="O81" s="19" t="str">
        <f t="shared" si="29"/>
        <v>rokwzgl=10 i lp=92000</v>
      </c>
      <c r="P81" s="19" t="str">
        <f t="shared" si="29"/>
        <v>rokwzgl=11 i lp=92000</v>
      </c>
      <c r="Q81" s="19" t="str">
        <f t="shared" si="29"/>
        <v>rokwzgl=12 i lp=92000</v>
      </c>
      <c r="R81" s="19" t="str">
        <f t="shared" si="29"/>
        <v>rokwzgl=13 i lp=92000</v>
      </c>
      <c r="S81" s="19" t="str">
        <f t="shared" si="29"/>
        <v>rokwzgl=14 i lp=92000</v>
      </c>
      <c r="T81" s="19" t="str">
        <f t="shared" si="29"/>
        <v>rokwzgl=15 i lp=92000</v>
      </c>
      <c r="U81" s="19" t="str">
        <f t="shared" si="29"/>
        <v>rokwzgl=16 i lp=92000</v>
      </c>
      <c r="V81" s="19" t="str">
        <f t="shared" si="29"/>
        <v>rokwzgl=17 i lp=92000</v>
      </c>
      <c r="W81" s="19" t="str">
        <f t="shared" si="29"/>
        <v>rokwzgl=18 i lp=92000</v>
      </c>
      <c r="X81" s="19" t="str">
        <f t="shared" si="32"/>
        <v>rokwzgl=19 i lp=92000</v>
      </c>
      <c r="Y81" s="19" t="str">
        <f t="shared" si="32"/>
        <v>rokwzgl=20 i lp=92000</v>
      </c>
      <c r="Z81" s="19" t="str">
        <f t="shared" si="32"/>
        <v>rokwzgl=21 i lp=92000</v>
      </c>
      <c r="AA81" s="19" t="str">
        <f t="shared" si="32"/>
        <v>rokwzgl=22 i lp=92000</v>
      </c>
      <c r="AB81" s="19" t="str">
        <f t="shared" si="32"/>
        <v>rokwzgl=23 i lp=92000</v>
      </c>
      <c r="AC81" s="19" t="str">
        <f t="shared" si="32"/>
        <v>rokwzgl=24 i lp=92000</v>
      </c>
      <c r="AD81" s="19" t="str">
        <f t="shared" si="32"/>
        <v>rokwzgl=25 i lp=92000</v>
      </c>
      <c r="AE81" s="19" t="str">
        <f t="shared" si="32"/>
        <v>rokwzgl=26 i lp=92000</v>
      </c>
      <c r="AF81" s="19" t="str">
        <f t="shared" si="32"/>
        <v>rokwzgl=27 i lp=92000</v>
      </c>
      <c r="AG81" s="19" t="str">
        <f t="shared" si="32"/>
        <v>rokwzgl=28 i lp=92000</v>
      </c>
      <c r="AH81" s="19" t="str">
        <f t="shared" si="32"/>
        <v>rokwzgl=29 i lp=92000</v>
      </c>
      <c r="AI81" s="19" t="str">
        <f t="shared" si="32"/>
        <v>rokwzgl=30 i lp=92000</v>
      </c>
      <c r="AJ81" s="19" t="str">
        <f t="shared" si="31"/>
        <v>rokwzgl=31 i lp=92000</v>
      </c>
      <c r="AK81" s="19" t="str">
        <f t="shared" si="31"/>
        <v>rokwzgl=32 i lp=92000</v>
      </c>
      <c r="AL81" s="19" t="str">
        <f t="shared" si="31"/>
        <v>rokwzgl=33 i lp=92000</v>
      </c>
      <c r="AM81" s="19" t="str">
        <f t="shared" si="31"/>
        <v>rokwzgl=34 i lp=92000</v>
      </c>
      <c r="AN81" s="19" t="str">
        <f t="shared" si="30"/>
        <v>rokwzgl=35 i lp=92000</v>
      </c>
      <c r="AO81" s="19" t="str">
        <f t="shared" si="30"/>
        <v>rokwzgl=36 i lp=92000</v>
      </c>
      <c r="AP81" s="19" t="str">
        <f t="shared" si="30"/>
        <v>rokwzgl=37 i lp=92000</v>
      </c>
      <c r="AQ81" s="19" t="str">
        <f t="shared" si="30"/>
        <v>rokwzgl=38 i lp=92000</v>
      </c>
      <c r="AR81" s="19" t="str">
        <f t="shared" si="30"/>
        <v>rokwzgl=39 i lp=92000</v>
      </c>
    </row>
    <row r="82" spans="1:44">
      <c r="A82" s="74">
        <v>92100</v>
      </c>
      <c r="B82" s="18" t="s">
        <v>285</v>
      </c>
      <c r="C82" s="19" t="s">
        <v>238</v>
      </c>
      <c r="D82" s="19" t="str">
        <f t="shared" si="26"/>
        <v>rokwzgl=0 i lp=92100</v>
      </c>
      <c r="E82" s="19" t="str">
        <f t="shared" si="26"/>
        <v>rokwzgl=0 i lp=92100</v>
      </c>
      <c r="F82" s="19" t="str">
        <f t="shared" si="26"/>
        <v>rokwzgl=1 i lp=92100</v>
      </c>
      <c r="G82" s="19" t="str">
        <f t="shared" si="26"/>
        <v>rokwzgl=2 i lp=92100</v>
      </c>
      <c r="H82" s="19" t="str">
        <f t="shared" si="26"/>
        <v>rokwzgl=3 i lp=92100</v>
      </c>
      <c r="I82" s="19" t="str">
        <f t="shared" si="26"/>
        <v>rokwzgl=4 i lp=92100</v>
      </c>
      <c r="J82" s="19" t="str">
        <f t="shared" si="26"/>
        <v>rokwzgl=5 i lp=92100</v>
      </c>
      <c r="K82" s="19" t="str">
        <f t="shared" si="26"/>
        <v>rokwzgl=6 i lp=92100</v>
      </c>
      <c r="L82" s="19" t="str">
        <f t="shared" si="26"/>
        <v>rokwzgl=7 i lp=92100</v>
      </c>
      <c r="M82" s="19" t="str">
        <f t="shared" si="26"/>
        <v>rokwzgl=8 i lp=92100</v>
      </c>
      <c r="N82" s="19" t="str">
        <f t="shared" si="29"/>
        <v>rokwzgl=9 i lp=92100</v>
      </c>
      <c r="O82" s="19" t="str">
        <f t="shared" si="29"/>
        <v>rokwzgl=10 i lp=92100</v>
      </c>
      <c r="P82" s="19" t="str">
        <f t="shared" si="29"/>
        <v>rokwzgl=11 i lp=92100</v>
      </c>
      <c r="Q82" s="19" t="str">
        <f t="shared" si="29"/>
        <v>rokwzgl=12 i lp=92100</v>
      </c>
      <c r="R82" s="19" t="str">
        <f t="shared" si="29"/>
        <v>rokwzgl=13 i lp=92100</v>
      </c>
      <c r="S82" s="19" t="str">
        <f t="shared" si="29"/>
        <v>rokwzgl=14 i lp=92100</v>
      </c>
      <c r="T82" s="19" t="str">
        <f t="shared" si="29"/>
        <v>rokwzgl=15 i lp=92100</v>
      </c>
      <c r="U82" s="19" t="str">
        <f t="shared" si="29"/>
        <v>rokwzgl=16 i lp=92100</v>
      </c>
      <c r="V82" s="19" t="str">
        <f t="shared" si="29"/>
        <v>rokwzgl=17 i lp=92100</v>
      </c>
      <c r="W82" s="19" t="str">
        <f t="shared" si="29"/>
        <v>rokwzgl=18 i lp=92100</v>
      </c>
      <c r="X82" s="19" t="str">
        <f t="shared" si="32"/>
        <v>rokwzgl=19 i lp=92100</v>
      </c>
      <c r="Y82" s="19" t="str">
        <f t="shared" si="32"/>
        <v>rokwzgl=20 i lp=92100</v>
      </c>
      <c r="Z82" s="19" t="str">
        <f t="shared" si="32"/>
        <v>rokwzgl=21 i lp=92100</v>
      </c>
      <c r="AA82" s="19" t="str">
        <f t="shared" si="32"/>
        <v>rokwzgl=22 i lp=92100</v>
      </c>
      <c r="AB82" s="19" t="str">
        <f t="shared" si="32"/>
        <v>rokwzgl=23 i lp=92100</v>
      </c>
      <c r="AC82" s="19" t="str">
        <f t="shared" si="32"/>
        <v>rokwzgl=24 i lp=92100</v>
      </c>
      <c r="AD82" s="19" t="str">
        <f t="shared" si="32"/>
        <v>rokwzgl=25 i lp=92100</v>
      </c>
      <c r="AE82" s="19" t="str">
        <f t="shared" si="32"/>
        <v>rokwzgl=26 i lp=92100</v>
      </c>
      <c r="AF82" s="19" t="str">
        <f t="shared" si="32"/>
        <v>rokwzgl=27 i lp=92100</v>
      </c>
      <c r="AG82" s="19" t="str">
        <f t="shared" si="32"/>
        <v>rokwzgl=28 i lp=92100</v>
      </c>
      <c r="AH82" s="19" t="str">
        <f t="shared" si="32"/>
        <v>rokwzgl=29 i lp=92100</v>
      </c>
      <c r="AI82" s="19" t="str">
        <f t="shared" si="32"/>
        <v>rokwzgl=30 i lp=92100</v>
      </c>
      <c r="AJ82" s="19" t="str">
        <f t="shared" si="31"/>
        <v>rokwzgl=31 i lp=92100</v>
      </c>
      <c r="AK82" s="19" t="str">
        <f t="shared" si="31"/>
        <v>rokwzgl=32 i lp=92100</v>
      </c>
      <c r="AL82" s="19" t="str">
        <f t="shared" si="31"/>
        <v>rokwzgl=33 i lp=92100</v>
      </c>
      <c r="AM82" s="19" t="str">
        <f t="shared" si="31"/>
        <v>rokwzgl=34 i lp=92100</v>
      </c>
      <c r="AN82" s="19" t="str">
        <f t="shared" si="30"/>
        <v>rokwzgl=35 i lp=92100</v>
      </c>
      <c r="AO82" s="19" t="str">
        <f t="shared" si="30"/>
        <v>rokwzgl=36 i lp=92100</v>
      </c>
      <c r="AP82" s="19" t="str">
        <f t="shared" si="30"/>
        <v>rokwzgl=37 i lp=92100</v>
      </c>
      <c r="AQ82" s="19" t="str">
        <f t="shared" si="30"/>
        <v>rokwzgl=38 i lp=92100</v>
      </c>
      <c r="AR82" s="19" t="str">
        <f t="shared" si="30"/>
        <v>rokwzgl=39 i lp=92100</v>
      </c>
    </row>
    <row r="83" spans="1:44">
      <c r="A83" s="74">
        <v>92110</v>
      </c>
      <c r="B83" s="18" t="s">
        <v>286</v>
      </c>
      <c r="C83" s="19" t="s">
        <v>236</v>
      </c>
      <c r="D83" s="19" t="str">
        <f t="shared" si="26"/>
        <v>rokwzgl=0 i lp=92110</v>
      </c>
      <c r="E83" s="19" t="str">
        <f t="shared" si="26"/>
        <v>rokwzgl=0 i lp=92110</v>
      </c>
      <c r="F83" s="19" t="str">
        <f t="shared" si="26"/>
        <v>rokwzgl=1 i lp=92110</v>
      </c>
      <c r="G83" s="19" t="str">
        <f t="shared" si="26"/>
        <v>rokwzgl=2 i lp=92110</v>
      </c>
      <c r="H83" s="19" t="str">
        <f t="shared" si="26"/>
        <v>rokwzgl=3 i lp=92110</v>
      </c>
      <c r="I83" s="19" t="str">
        <f t="shared" si="26"/>
        <v>rokwzgl=4 i lp=92110</v>
      </c>
      <c r="J83" s="19" t="str">
        <f t="shared" si="26"/>
        <v>rokwzgl=5 i lp=92110</v>
      </c>
      <c r="K83" s="19" t="str">
        <f t="shared" si="26"/>
        <v>rokwzgl=6 i lp=92110</v>
      </c>
      <c r="L83" s="19" t="str">
        <f t="shared" si="26"/>
        <v>rokwzgl=7 i lp=92110</v>
      </c>
      <c r="M83" s="19" t="str">
        <f t="shared" si="26"/>
        <v>rokwzgl=8 i lp=92110</v>
      </c>
      <c r="N83" s="19" t="str">
        <f t="shared" si="29"/>
        <v>rokwzgl=9 i lp=92110</v>
      </c>
      <c r="O83" s="19" t="str">
        <f t="shared" si="29"/>
        <v>rokwzgl=10 i lp=92110</v>
      </c>
      <c r="P83" s="19" t="str">
        <f t="shared" si="29"/>
        <v>rokwzgl=11 i lp=92110</v>
      </c>
      <c r="Q83" s="19" t="str">
        <f t="shared" si="29"/>
        <v>rokwzgl=12 i lp=92110</v>
      </c>
      <c r="R83" s="19" t="str">
        <f t="shared" si="29"/>
        <v>rokwzgl=13 i lp=92110</v>
      </c>
      <c r="S83" s="19" t="str">
        <f t="shared" si="29"/>
        <v>rokwzgl=14 i lp=92110</v>
      </c>
      <c r="T83" s="19" t="str">
        <f t="shared" si="29"/>
        <v>rokwzgl=15 i lp=92110</v>
      </c>
      <c r="U83" s="19" t="str">
        <f t="shared" si="29"/>
        <v>rokwzgl=16 i lp=92110</v>
      </c>
      <c r="V83" s="19" t="str">
        <f t="shared" si="29"/>
        <v>rokwzgl=17 i lp=92110</v>
      </c>
      <c r="W83" s="19" t="str">
        <f t="shared" si="29"/>
        <v>rokwzgl=18 i lp=92110</v>
      </c>
      <c r="X83" s="19" t="str">
        <f t="shared" si="32"/>
        <v>rokwzgl=19 i lp=92110</v>
      </c>
      <c r="Y83" s="19" t="str">
        <f t="shared" si="32"/>
        <v>rokwzgl=20 i lp=92110</v>
      </c>
      <c r="Z83" s="19" t="str">
        <f t="shared" si="32"/>
        <v>rokwzgl=21 i lp=92110</v>
      </c>
      <c r="AA83" s="19" t="str">
        <f t="shared" si="32"/>
        <v>rokwzgl=22 i lp=92110</v>
      </c>
      <c r="AB83" s="19" t="str">
        <f t="shared" si="32"/>
        <v>rokwzgl=23 i lp=92110</v>
      </c>
      <c r="AC83" s="19" t="str">
        <f t="shared" si="32"/>
        <v>rokwzgl=24 i lp=92110</v>
      </c>
      <c r="AD83" s="19" t="str">
        <f t="shared" si="32"/>
        <v>rokwzgl=25 i lp=92110</v>
      </c>
      <c r="AE83" s="19" t="str">
        <f t="shared" si="32"/>
        <v>rokwzgl=26 i lp=92110</v>
      </c>
      <c r="AF83" s="19" t="str">
        <f t="shared" si="32"/>
        <v>rokwzgl=27 i lp=92110</v>
      </c>
      <c r="AG83" s="19" t="str">
        <f t="shared" si="32"/>
        <v>rokwzgl=28 i lp=92110</v>
      </c>
      <c r="AH83" s="19" t="str">
        <f t="shared" si="32"/>
        <v>rokwzgl=29 i lp=92110</v>
      </c>
      <c r="AI83" s="19" t="str">
        <f t="shared" si="32"/>
        <v>rokwzgl=30 i lp=92110</v>
      </c>
      <c r="AJ83" s="19" t="str">
        <f t="shared" si="31"/>
        <v>rokwzgl=31 i lp=92110</v>
      </c>
      <c r="AK83" s="19" t="str">
        <f t="shared" si="31"/>
        <v>rokwzgl=32 i lp=92110</v>
      </c>
      <c r="AL83" s="19" t="str">
        <f t="shared" si="31"/>
        <v>rokwzgl=33 i lp=92110</v>
      </c>
      <c r="AM83" s="19" t="str">
        <f t="shared" si="31"/>
        <v>rokwzgl=34 i lp=92110</v>
      </c>
      <c r="AN83" s="19" t="str">
        <f t="shared" si="30"/>
        <v>rokwzgl=35 i lp=92110</v>
      </c>
      <c r="AO83" s="19" t="str">
        <f t="shared" si="30"/>
        <v>rokwzgl=36 i lp=92110</v>
      </c>
      <c r="AP83" s="19" t="str">
        <f t="shared" si="30"/>
        <v>rokwzgl=37 i lp=92110</v>
      </c>
      <c r="AQ83" s="19" t="str">
        <f t="shared" si="30"/>
        <v>rokwzgl=38 i lp=92110</v>
      </c>
      <c r="AR83" s="19" t="str">
        <f t="shared" si="30"/>
        <v>rokwzgl=39 i lp=92110</v>
      </c>
    </row>
    <row r="84" spans="1:44">
      <c r="A84" s="74">
        <v>93000</v>
      </c>
      <c r="B84" s="18" t="s">
        <v>68</v>
      </c>
      <c r="C84" s="19" t="s">
        <v>239</v>
      </c>
      <c r="D84" s="19" t="str">
        <f t="shared" si="26"/>
        <v>rokwzgl=0 i lp=93000</v>
      </c>
      <c r="E84" s="19" t="str">
        <f t="shared" si="26"/>
        <v>rokwzgl=0 i lp=93000</v>
      </c>
      <c r="F84" s="19" t="str">
        <f t="shared" si="26"/>
        <v>rokwzgl=1 i lp=93000</v>
      </c>
      <c r="G84" s="19" t="str">
        <f t="shared" si="26"/>
        <v>rokwzgl=2 i lp=93000</v>
      </c>
      <c r="H84" s="19" t="str">
        <f t="shared" si="26"/>
        <v>rokwzgl=3 i lp=93000</v>
      </c>
      <c r="I84" s="19" t="str">
        <f t="shared" si="26"/>
        <v>rokwzgl=4 i lp=93000</v>
      </c>
      <c r="J84" s="19" t="str">
        <f t="shared" si="26"/>
        <v>rokwzgl=5 i lp=93000</v>
      </c>
      <c r="K84" s="19" t="str">
        <f t="shared" si="26"/>
        <v>rokwzgl=6 i lp=93000</v>
      </c>
      <c r="L84" s="19" t="str">
        <f t="shared" si="26"/>
        <v>rokwzgl=7 i lp=93000</v>
      </c>
      <c r="M84" s="19" t="str">
        <f t="shared" si="26"/>
        <v>rokwzgl=8 i lp=93000</v>
      </c>
      <c r="N84" s="19" t="str">
        <f t="shared" si="29"/>
        <v>rokwzgl=9 i lp=93000</v>
      </c>
      <c r="O84" s="19" t="str">
        <f t="shared" si="29"/>
        <v>rokwzgl=10 i lp=93000</v>
      </c>
      <c r="P84" s="19" t="str">
        <f t="shared" si="29"/>
        <v>rokwzgl=11 i lp=93000</v>
      </c>
      <c r="Q84" s="19" t="str">
        <f t="shared" si="29"/>
        <v>rokwzgl=12 i lp=93000</v>
      </c>
      <c r="R84" s="19" t="str">
        <f t="shared" si="29"/>
        <v>rokwzgl=13 i lp=93000</v>
      </c>
      <c r="S84" s="19" t="str">
        <f t="shared" si="29"/>
        <v>rokwzgl=14 i lp=93000</v>
      </c>
      <c r="T84" s="19" t="str">
        <f t="shared" si="29"/>
        <v>rokwzgl=15 i lp=93000</v>
      </c>
      <c r="U84" s="19" t="str">
        <f t="shared" si="29"/>
        <v>rokwzgl=16 i lp=93000</v>
      </c>
      <c r="V84" s="19" t="str">
        <f t="shared" si="29"/>
        <v>rokwzgl=17 i lp=93000</v>
      </c>
      <c r="W84" s="19" t="str">
        <f t="shared" si="29"/>
        <v>rokwzgl=18 i lp=93000</v>
      </c>
      <c r="X84" s="19" t="str">
        <f t="shared" si="32"/>
        <v>rokwzgl=19 i lp=93000</v>
      </c>
      <c r="Y84" s="19" t="str">
        <f t="shared" si="32"/>
        <v>rokwzgl=20 i lp=93000</v>
      </c>
      <c r="Z84" s="19" t="str">
        <f t="shared" si="32"/>
        <v>rokwzgl=21 i lp=93000</v>
      </c>
      <c r="AA84" s="19" t="str">
        <f t="shared" si="32"/>
        <v>rokwzgl=22 i lp=93000</v>
      </c>
      <c r="AB84" s="19" t="str">
        <f t="shared" si="32"/>
        <v>rokwzgl=23 i lp=93000</v>
      </c>
      <c r="AC84" s="19" t="str">
        <f t="shared" si="32"/>
        <v>rokwzgl=24 i lp=93000</v>
      </c>
      <c r="AD84" s="19" t="str">
        <f t="shared" si="32"/>
        <v>rokwzgl=25 i lp=93000</v>
      </c>
      <c r="AE84" s="19" t="str">
        <f t="shared" si="32"/>
        <v>rokwzgl=26 i lp=93000</v>
      </c>
      <c r="AF84" s="19" t="str">
        <f t="shared" si="32"/>
        <v>rokwzgl=27 i lp=93000</v>
      </c>
      <c r="AG84" s="19" t="str">
        <f t="shared" si="32"/>
        <v>rokwzgl=28 i lp=93000</v>
      </c>
      <c r="AH84" s="19" t="str">
        <f t="shared" si="32"/>
        <v>rokwzgl=29 i lp=93000</v>
      </c>
      <c r="AI84" s="19" t="str">
        <f t="shared" si="32"/>
        <v>rokwzgl=30 i lp=93000</v>
      </c>
      <c r="AJ84" s="19" t="str">
        <f t="shared" si="31"/>
        <v>rokwzgl=31 i lp=93000</v>
      </c>
      <c r="AK84" s="19" t="str">
        <f t="shared" si="31"/>
        <v>rokwzgl=32 i lp=93000</v>
      </c>
      <c r="AL84" s="19" t="str">
        <f t="shared" si="31"/>
        <v>rokwzgl=33 i lp=93000</v>
      </c>
      <c r="AM84" s="19" t="str">
        <f t="shared" si="31"/>
        <v>rokwzgl=34 i lp=93000</v>
      </c>
      <c r="AN84" s="19" t="str">
        <f t="shared" si="30"/>
        <v>rokwzgl=35 i lp=93000</v>
      </c>
      <c r="AO84" s="19" t="str">
        <f t="shared" si="30"/>
        <v>rokwzgl=36 i lp=93000</v>
      </c>
      <c r="AP84" s="19" t="str">
        <f t="shared" si="30"/>
        <v>rokwzgl=37 i lp=93000</v>
      </c>
      <c r="AQ84" s="19" t="str">
        <f t="shared" si="30"/>
        <v>rokwzgl=38 i lp=93000</v>
      </c>
      <c r="AR84" s="19" t="str">
        <f t="shared" si="30"/>
        <v>rokwzgl=39 i lp=93000</v>
      </c>
    </row>
    <row r="85" spans="1:44">
      <c r="A85" s="74">
        <v>93100</v>
      </c>
      <c r="B85" s="18" t="s">
        <v>287</v>
      </c>
      <c r="C85" s="19" t="s">
        <v>240</v>
      </c>
      <c r="D85" s="19" t="str">
        <f t="shared" si="26"/>
        <v>rokwzgl=0 i lp=93100</v>
      </c>
      <c r="E85" s="19" t="str">
        <f t="shared" si="26"/>
        <v>rokwzgl=0 i lp=93100</v>
      </c>
      <c r="F85" s="19" t="str">
        <f t="shared" si="26"/>
        <v>rokwzgl=1 i lp=93100</v>
      </c>
      <c r="G85" s="19" t="str">
        <f t="shared" si="26"/>
        <v>rokwzgl=2 i lp=93100</v>
      </c>
      <c r="H85" s="19" t="str">
        <f t="shared" si="26"/>
        <v>rokwzgl=3 i lp=93100</v>
      </c>
      <c r="I85" s="19" t="str">
        <f t="shared" si="26"/>
        <v>rokwzgl=4 i lp=93100</v>
      </c>
      <c r="J85" s="19" t="str">
        <f t="shared" si="26"/>
        <v>rokwzgl=5 i lp=93100</v>
      </c>
      <c r="K85" s="19" t="str">
        <f t="shared" si="26"/>
        <v>rokwzgl=6 i lp=93100</v>
      </c>
      <c r="L85" s="19" t="str">
        <f t="shared" si="26"/>
        <v>rokwzgl=7 i lp=93100</v>
      </c>
      <c r="M85" s="19" t="str">
        <f t="shared" si="26"/>
        <v>rokwzgl=8 i lp=93100</v>
      </c>
      <c r="N85" s="19" t="str">
        <f t="shared" si="29"/>
        <v>rokwzgl=9 i lp=93100</v>
      </c>
      <c r="O85" s="19" t="str">
        <f t="shared" si="29"/>
        <v>rokwzgl=10 i lp=93100</v>
      </c>
      <c r="P85" s="19" t="str">
        <f t="shared" si="29"/>
        <v>rokwzgl=11 i lp=93100</v>
      </c>
      <c r="Q85" s="19" t="str">
        <f t="shared" si="29"/>
        <v>rokwzgl=12 i lp=93100</v>
      </c>
      <c r="R85" s="19" t="str">
        <f t="shared" si="29"/>
        <v>rokwzgl=13 i lp=93100</v>
      </c>
      <c r="S85" s="19" t="str">
        <f t="shared" si="29"/>
        <v>rokwzgl=14 i lp=93100</v>
      </c>
      <c r="T85" s="19" t="str">
        <f t="shared" si="29"/>
        <v>rokwzgl=15 i lp=93100</v>
      </c>
      <c r="U85" s="19" t="str">
        <f t="shared" si="29"/>
        <v>rokwzgl=16 i lp=93100</v>
      </c>
      <c r="V85" s="19" t="str">
        <f t="shared" si="29"/>
        <v>rokwzgl=17 i lp=93100</v>
      </c>
      <c r="W85" s="19" t="str">
        <f t="shared" si="29"/>
        <v>rokwzgl=18 i lp=93100</v>
      </c>
      <c r="X85" s="19" t="str">
        <f t="shared" si="32"/>
        <v>rokwzgl=19 i lp=93100</v>
      </c>
      <c r="Y85" s="19" t="str">
        <f t="shared" si="32"/>
        <v>rokwzgl=20 i lp=93100</v>
      </c>
      <c r="Z85" s="19" t="str">
        <f t="shared" si="32"/>
        <v>rokwzgl=21 i lp=93100</v>
      </c>
      <c r="AA85" s="19" t="str">
        <f t="shared" si="32"/>
        <v>rokwzgl=22 i lp=93100</v>
      </c>
      <c r="AB85" s="19" t="str">
        <f t="shared" si="32"/>
        <v>rokwzgl=23 i lp=93100</v>
      </c>
      <c r="AC85" s="19" t="str">
        <f t="shared" si="32"/>
        <v>rokwzgl=24 i lp=93100</v>
      </c>
      <c r="AD85" s="19" t="str">
        <f t="shared" si="32"/>
        <v>rokwzgl=25 i lp=93100</v>
      </c>
      <c r="AE85" s="19" t="str">
        <f t="shared" si="32"/>
        <v>rokwzgl=26 i lp=93100</v>
      </c>
      <c r="AF85" s="19" t="str">
        <f t="shared" si="32"/>
        <v>rokwzgl=27 i lp=93100</v>
      </c>
      <c r="AG85" s="19" t="str">
        <f t="shared" si="32"/>
        <v>rokwzgl=28 i lp=93100</v>
      </c>
      <c r="AH85" s="19" t="str">
        <f t="shared" si="32"/>
        <v>rokwzgl=29 i lp=93100</v>
      </c>
      <c r="AI85" s="19" t="str">
        <f t="shared" si="32"/>
        <v>rokwzgl=30 i lp=93100</v>
      </c>
      <c r="AJ85" s="19" t="str">
        <f t="shared" si="31"/>
        <v>rokwzgl=31 i lp=93100</v>
      </c>
      <c r="AK85" s="19" t="str">
        <f t="shared" si="31"/>
        <v>rokwzgl=32 i lp=93100</v>
      </c>
      <c r="AL85" s="19" t="str">
        <f t="shared" si="31"/>
        <v>rokwzgl=33 i lp=93100</v>
      </c>
      <c r="AM85" s="19" t="str">
        <f t="shared" si="31"/>
        <v>rokwzgl=34 i lp=93100</v>
      </c>
      <c r="AN85" s="19" t="str">
        <f t="shared" si="30"/>
        <v>rokwzgl=35 i lp=93100</v>
      </c>
      <c r="AO85" s="19" t="str">
        <f t="shared" si="30"/>
        <v>rokwzgl=36 i lp=93100</v>
      </c>
      <c r="AP85" s="19" t="str">
        <f t="shared" si="30"/>
        <v>rokwzgl=37 i lp=93100</v>
      </c>
      <c r="AQ85" s="19" t="str">
        <f t="shared" si="30"/>
        <v>rokwzgl=38 i lp=93100</v>
      </c>
      <c r="AR85" s="19" t="str">
        <f t="shared" si="30"/>
        <v>rokwzgl=39 i lp=93100</v>
      </c>
    </row>
    <row r="86" spans="1:44">
      <c r="A86" s="74">
        <v>93110</v>
      </c>
      <c r="B86" s="18" t="s">
        <v>288</v>
      </c>
      <c r="C86" s="19" t="s">
        <v>241</v>
      </c>
      <c r="D86" s="19" t="str">
        <f t="shared" si="26"/>
        <v>rokwzgl=0 i lp=93110</v>
      </c>
      <c r="E86" s="19" t="str">
        <f t="shared" si="26"/>
        <v>rokwzgl=0 i lp=93110</v>
      </c>
      <c r="F86" s="19" t="str">
        <f t="shared" si="26"/>
        <v>rokwzgl=1 i lp=93110</v>
      </c>
      <c r="G86" s="19" t="str">
        <f t="shared" si="26"/>
        <v>rokwzgl=2 i lp=93110</v>
      </c>
      <c r="H86" s="19" t="str">
        <f t="shared" si="26"/>
        <v>rokwzgl=3 i lp=93110</v>
      </c>
      <c r="I86" s="19" t="str">
        <f t="shared" si="26"/>
        <v>rokwzgl=4 i lp=93110</v>
      </c>
      <c r="J86" s="19" t="str">
        <f t="shared" si="26"/>
        <v>rokwzgl=5 i lp=93110</v>
      </c>
      <c r="K86" s="19" t="str">
        <f t="shared" si="26"/>
        <v>rokwzgl=6 i lp=93110</v>
      </c>
      <c r="L86" s="19" t="str">
        <f t="shared" si="26"/>
        <v>rokwzgl=7 i lp=93110</v>
      </c>
      <c r="M86" s="19" t="str">
        <f t="shared" si="26"/>
        <v>rokwzgl=8 i lp=93110</v>
      </c>
      <c r="N86" s="19" t="str">
        <f t="shared" si="29"/>
        <v>rokwzgl=9 i lp=93110</v>
      </c>
      <c r="O86" s="19" t="str">
        <f t="shared" si="29"/>
        <v>rokwzgl=10 i lp=93110</v>
      </c>
      <c r="P86" s="19" t="str">
        <f t="shared" si="29"/>
        <v>rokwzgl=11 i lp=93110</v>
      </c>
      <c r="Q86" s="19" t="str">
        <f t="shared" si="29"/>
        <v>rokwzgl=12 i lp=93110</v>
      </c>
      <c r="R86" s="19" t="str">
        <f t="shared" si="29"/>
        <v>rokwzgl=13 i lp=93110</v>
      </c>
      <c r="S86" s="19" t="str">
        <f t="shared" si="29"/>
        <v>rokwzgl=14 i lp=93110</v>
      </c>
      <c r="T86" s="19" t="str">
        <f t="shared" si="29"/>
        <v>rokwzgl=15 i lp=93110</v>
      </c>
      <c r="U86" s="19" t="str">
        <f t="shared" si="29"/>
        <v>rokwzgl=16 i lp=93110</v>
      </c>
      <c r="V86" s="19" t="str">
        <f t="shared" si="29"/>
        <v>rokwzgl=17 i lp=93110</v>
      </c>
      <c r="W86" s="19" t="str">
        <f t="shared" si="29"/>
        <v>rokwzgl=18 i lp=93110</v>
      </c>
      <c r="X86" s="19" t="str">
        <f t="shared" si="32"/>
        <v>rokwzgl=19 i lp=93110</v>
      </c>
      <c r="Y86" s="19" t="str">
        <f t="shared" si="32"/>
        <v>rokwzgl=20 i lp=93110</v>
      </c>
      <c r="Z86" s="19" t="str">
        <f t="shared" si="32"/>
        <v>rokwzgl=21 i lp=93110</v>
      </c>
      <c r="AA86" s="19" t="str">
        <f t="shared" si="32"/>
        <v>rokwzgl=22 i lp=93110</v>
      </c>
      <c r="AB86" s="19" t="str">
        <f t="shared" si="32"/>
        <v>rokwzgl=23 i lp=93110</v>
      </c>
      <c r="AC86" s="19" t="str">
        <f t="shared" si="32"/>
        <v>rokwzgl=24 i lp=93110</v>
      </c>
      <c r="AD86" s="19" t="str">
        <f t="shared" si="32"/>
        <v>rokwzgl=25 i lp=93110</v>
      </c>
      <c r="AE86" s="19" t="str">
        <f t="shared" si="32"/>
        <v>rokwzgl=26 i lp=93110</v>
      </c>
      <c r="AF86" s="19" t="str">
        <f t="shared" si="32"/>
        <v>rokwzgl=27 i lp=93110</v>
      </c>
      <c r="AG86" s="19" t="str">
        <f t="shared" si="32"/>
        <v>rokwzgl=28 i lp=93110</v>
      </c>
      <c r="AH86" s="19" t="str">
        <f t="shared" si="32"/>
        <v>rokwzgl=29 i lp=93110</v>
      </c>
      <c r="AI86" s="19" t="str">
        <f t="shared" si="32"/>
        <v>rokwzgl=30 i lp=93110</v>
      </c>
      <c r="AJ86" s="19" t="str">
        <f t="shared" si="31"/>
        <v>rokwzgl=31 i lp=93110</v>
      </c>
      <c r="AK86" s="19" t="str">
        <f t="shared" si="31"/>
        <v>rokwzgl=32 i lp=93110</v>
      </c>
      <c r="AL86" s="19" t="str">
        <f t="shared" si="31"/>
        <v>rokwzgl=33 i lp=93110</v>
      </c>
      <c r="AM86" s="19" t="str">
        <f t="shared" si="31"/>
        <v>rokwzgl=34 i lp=93110</v>
      </c>
      <c r="AN86" s="19" t="str">
        <f t="shared" si="30"/>
        <v>rokwzgl=35 i lp=93110</v>
      </c>
      <c r="AO86" s="19" t="str">
        <f t="shared" si="30"/>
        <v>rokwzgl=36 i lp=93110</v>
      </c>
      <c r="AP86" s="19" t="str">
        <f t="shared" si="30"/>
        <v>rokwzgl=37 i lp=93110</v>
      </c>
      <c r="AQ86" s="19" t="str">
        <f t="shared" si="30"/>
        <v>rokwzgl=38 i lp=93110</v>
      </c>
      <c r="AR86" s="19" t="str">
        <f t="shared" si="30"/>
        <v>rokwzgl=39 i lp=93110</v>
      </c>
    </row>
    <row r="87" spans="1:44">
      <c r="A87" s="74">
        <v>94000</v>
      </c>
      <c r="B87" s="18" t="s">
        <v>69</v>
      </c>
      <c r="C87" s="19" t="s">
        <v>242</v>
      </c>
      <c r="D87" s="19" t="str">
        <f t="shared" si="26"/>
        <v>rokwzgl=0 i lp=94000</v>
      </c>
      <c r="E87" s="19" t="str">
        <f t="shared" si="26"/>
        <v>rokwzgl=0 i lp=94000</v>
      </c>
      <c r="F87" s="19" t="str">
        <f t="shared" si="26"/>
        <v>rokwzgl=1 i lp=94000</v>
      </c>
      <c r="G87" s="19" t="str">
        <f t="shared" si="26"/>
        <v>rokwzgl=2 i lp=94000</v>
      </c>
      <c r="H87" s="19" t="str">
        <f t="shared" si="26"/>
        <v>rokwzgl=3 i lp=94000</v>
      </c>
      <c r="I87" s="19" t="str">
        <f t="shared" si="26"/>
        <v>rokwzgl=4 i lp=94000</v>
      </c>
      <c r="J87" s="19" t="str">
        <f t="shared" si="26"/>
        <v>rokwzgl=5 i lp=94000</v>
      </c>
      <c r="K87" s="19" t="str">
        <f t="shared" si="26"/>
        <v>rokwzgl=6 i lp=94000</v>
      </c>
      <c r="L87" s="19" t="str">
        <f t="shared" si="26"/>
        <v>rokwzgl=7 i lp=94000</v>
      </c>
      <c r="M87" s="19" t="str">
        <f t="shared" si="26"/>
        <v>rokwzgl=8 i lp=94000</v>
      </c>
      <c r="N87" s="19" t="str">
        <f t="shared" si="29"/>
        <v>rokwzgl=9 i lp=94000</v>
      </c>
      <c r="O87" s="19" t="str">
        <f t="shared" si="29"/>
        <v>rokwzgl=10 i lp=94000</v>
      </c>
      <c r="P87" s="19" t="str">
        <f t="shared" si="29"/>
        <v>rokwzgl=11 i lp=94000</v>
      </c>
      <c r="Q87" s="19" t="str">
        <f t="shared" si="29"/>
        <v>rokwzgl=12 i lp=94000</v>
      </c>
      <c r="R87" s="19" t="str">
        <f t="shared" si="29"/>
        <v>rokwzgl=13 i lp=94000</v>
      </c>
      <c r="S87" s="19" t="str">
        <f t="shared" si="29"/>
        <v>rokwzgl=14 i lp=94000</v>
      </c>
      <c r="T87" s="19" t="str">
        <f t="shared" si="29"/>
        <v>rokwzgl=15 i lp=94000</v>
      </c>
      <c r="U87" s="19" t="str">
        <f t="shared" si="29"/>
        <v>rokwzgl=16 i lp=94000</v>
      </c>
      <c r="V87" s="19" t="str">
        <f t="shared" si="29"/>
        <v>rokwzgl=17 i lp=94000</v>
      </c>
      <c r="W87" s="19" t="str">
        <f t="shared" si="29"/>
        <v>rokwzgl=18 i lp=94000</v>
      </c>
      <c r="X87" s="19" t="str">
        <f t="shared" si="32"/>
        <v>rokwzgl=19 i lp=94000</v>
      </c>
      <c r="Y87" s="19" t="str">
        <f t="shared" si="32"/>
        <v>rokwzgl=20 i lp=94000</v>
      </c>
      <c r="Z87" s="19" t="str">
        <f t="shared" si="32"/>
        <v>rokwzgl=21 i lp=94000</v>
      </c>
      <c r="AA87" s="19" t="str">
        <f t="shared" si="32"/>
        <v>rokwzgl=22 i lp=94000</v>
      </c>
      <c r="AB87" s="19" t="str">
        <f t="shared" si="32"/>
        <v>rokwzgl=23 i lp=94000</v>
      </c>
      <c r="AC87" s="19" t="str">
        <f t="shared" si="32"/>
        <v>rokwzgl=24 i lp=94000</v>
      </c>
      <c r="AD87" s="19" t="str">
        <f t="shared" si="32"/>
        <v>rokwzgl=25 i lp=94000</v>
      </c>
      <c r="AE87" s="19" t="str">
        <f t="shared" si="32"/>
        <v>rokwzgl=26 i lp=94000</v>
      </c>
      <c r="AF87" s="19" t="str">
        <f t="shared" si="32"/>
        <v>rokwzgl=27 i lp=94000</v>
      </c>
      <c r="AG87" s="19" t="str">
        <f t="shared" si="32"/>
        <v>rokwzgl=28 i lp=94000</v>
      </c>
      <c r="AH87" s="19" t="str">
        <f t="shared" si="32"/>
        <v>rokwzgl=29 i lp=94000</v>
      </c>
      <c r="AI87" s="19" t="str">
        <f t="shared" si="32"/>
        <v>rokwzgl=30 i lp=94000</v>
      </c>
      <c r="AJ87" s="19" t="str">
        <f t="shared" si="31"/>
        <v>rokwzgl=31 i lp=94000</v>
      </c>
      <c r="AK87" s="19" t="str">
        <f t="shared" si="31"/>
        <v>rokwzgl=32 i lp=94000</v>
      </c>
      <c r="AL87" s="19" t="str">
        <f t="shared" si="31"/>
        <v>rokwzgl=33 i lp=94000</v>
      </c>
      <c r="AM87" s="19" t="str">
        <f t="shared" si="31"/>
        <v>rokwzgl=34 i lp=94000</v>
      </c>
      <c r="AN87" s="19" t="str">
        <f t="shared" si="30"/>
        <v>rokwzgl=35 i lp=94000</v>
      </c>
      <c r="AO87" s="19" t="str">
        <f t="shared" si="30"/>
        <v>rokwzgl=36 i lp=94000</v>
      </c>
      <c r="AP87" s="19" t="str">
        <f t="shared" si="30"/>
        <v>rokwzgl=37 i lp=94000</v>
      </c>
      <c r="AQ87" s="19" t="str">
        <f t="shared" si="30"/>
        <v>rokwzgl=38 i lp=94000</v>
      </c>
      <c r="AR87" s="19" t="str">
        <f t="shared" si="30"/>
        <v>rokwzgl=39 i lp=94000</v>
      </c>
    </row>
    <row r="88" spans="1:44">
      <c r="A88" s="74">
        <v>94100</v>
      </c>
      <c r="B88" s="18" t="s">
        <v>289</v>
      </c>
      <c r="C88" s="19" t="s">
        <v>243</v>
      </c>
      <c r="D88" s="19" t="str">
        <f t="shared" si="26"/>
        <v>rokwzgl=0 i lp=94100</v>
      </c>
      <c r="E88" s="19" t="str">
        <f t="shared" si="26"/>
        <v>rokwzgl=0 i lp=94100</v>
      </c>
      <c r="F88" s="19" t="str">
        <f t="shared" si="26"/>
        <v>rokwzgl=1 i lp=94100</v>
      </c>
      <c r="G88" s="19" t="str">
        <f t="shared" si="26"/>
        <v>rokwzgl=2 i lp=94100</v>
      </c>
      <c r="H88" s="19" t="str">
        <f t="shared" si="26"/>
        <v>rokwzgl=3 i lp=94100</v>
      </c>
      <c r="I88" s="19" t="str">
        <f t="shared" si="26"/>
        <v>rokwzgl=4 i lp=94100</v>
      </c>
      <c r="J88" s="19" t="str">
        <f t="shared" si="26"/>
        <v>rokwzgl=5 i lp=94100</v>
      </c>
      <c r="K88" s="19" t="str">
        <f t="shared" si="26"/>
        <v>rokwzgl=6 i lp=94100</v>
      </c>
      <c r="L88" s="19" t="str">
        <f t="shared" si="26"/>
        <v>rokwzgl=7 i lp=94100</v>
      </c>
      <c r="M88" s="19" t="str">
        <f t="shared" si="26"/>
        <v>rokwzgl=8 i lp=94100</v>
      </c>
      <c r="N88" s="19" t="str">
        <f t="shared" si="29"/>
        <v>rokwzgl=9 i lp=94100</v>
      </c>
      <c r="O88" s="19" t="str">
        <f t="shared" si="29"/>
        <v>rokwzgl=10 i lp=94100</v>
      </c>
      <c r="P88" s="19" t="str">
        <f t="shared" si="29"/>
        <v>rokwzgl=11 i lp=94100</v>
      </c>
      <c r="Q88" s="19" t="str">
        <f t="shared" si="29"/>
        <v>rokwzgl=12 i lp=94100</v>
      </c>
      <c r="R88" s="19" t="str">
        <f t="shared" si="29"/>
        <v>rokwzgl=13 i lp=94100</v>
      </c>
      <c r="S88" s="19" t="str">
        <f t="shared" si="29"/>
        <v>rokwzgl=14 i lp=94100</v>
      </c>
      <c r="T88" s="19" t="str">
        <f t="shared" si="29"/>
        <v>rokwzgl=15 i lp=94100</v>
      </c>
      <c r="U88" s="19" t="str">
        <f t="shared" si="29"/>
        <v>rokwzgl=16 i lp=94100</v>
      </c>
      <c r="V88" s="19" t="str">
        <f t="shared" si="29"/>
        <v>rokwzgl=17 i lp=94100</v>
      </c>
      <c r="W88" s="19" t="str">
        <f t="shared" si="29"/>
        <v>rokwzgl=18 i lp=94100</v>
      </c>
      <c r="X88" s="19" t="str">
        <f t="shared" si="32"/>
        <v>rokwzgl=19 i lp=94100</v>
      </c>
      <c r="Y88" s="19" t="str">
        <f t="shared" si="32"/>
        <v>rokwzgl=20 i lp=94100</v>
      </c>
      <c r="Z88" s="19" t="str">
        <f t="shared" si="32"/>
        <v>rokwzgl=21 i lp=94100</v>
      </c>
      <c r="AA88" s="19" t="str">
        <f t="shared" si="32"/>
        <v>rokwzgl=22 i lp=94100</v>
      </c>
      <c r="AB88" s="19" t="str">
        <f t="shared" si="32"/>
        <v>rokwzgl=23 i lp=94100</v>
      </c>
      <c r="AC88" s="19" t="str">
        <f t="shared" si="32"/>
        <v>rokwzgl=24 i lp=94100</v>
      </c>
      <c r="AD88" s="19" t="str">
        <f t="shared" si="32"/>
        <v>rokwzgl=25 i lp=94100</v>
      </c>
      <c r="AE88" s="19" t="str">
        <f t="shared" si="32"/>
        <v>rokwzgl=26 i lp=94100</v>
      </c>
      <c r="AF88" s="19" t="str">
        <f t="shared" si="32"/>
        <v>rokwzgl=27 i lp=94100</v>
      </c>
      <c r="AG88" s="19" t="str">
        <f t="shared" si="32"/>
        <v>rokwzgl=28 i lp=94100</v>
      </c>
      <c r="AH88" s="19" t="str">
        <f t="shared" si="32"/>
        <v>rokwzgl=29 i lp=94100</v>
      </c>
      <c r="AI88" s="19" t="str">
        <f t="shared" si="32"/>
        <v>rokwzgl=30 i lp=94100</v>
      </c>
      <c r="AJ88" s="19" t="str">
        <f t="shared" si="31"/>
        <v>rokwzgl=31 i lp=94100</v>
      </c>
      <c r="AK88" s="19" t="str">
        <f t="shared" si="31"/>
        <v>rokwzgl=32 i lp=94100</v>
      </c>
      <c r="AL88" s="19" t="str">
        <f t="shared" si="31"/>
        <v>rokwzgl=33 i lp=94100</v>
      </c>
      <c r="AM88" s="19" t="str">
        <f t="shared" si="31"/>
        <v>rokwzgl=34 i lp=94100</v>
      </c>
      <c r="AN88" s="19" t="str">
        <f t="shared" si="30"/>
        <v>rokwzgl=35 i lp=94100</v>
      </c>
      <c r="AO88" s="19" t="str">
        <f t="shared" si="30"/>
        <v>rokwzgl=36 i lp=94100</v>
      </c>
      <c r="AP88" s="19" t="str">
        <f t="shared" si="30"/>
        <v>rokwzgl=37 i lp=94100</v>
      </c>
      <c r="AQ88" s="19" t="str">
        <f t="shared" si="30"/>
        <v>rokwzgl=38 i lp=94100</v>
      </c>
      <c r="AR88" s="19" t="str">
        <f t="shared" si="30"/>
        <v>rokwzgl=39 i lp=94100</v>
      </c>
    </row>
    <row r="89" spans="1:44">
      <c r="A89" s="74">
        <v>94110</v>
      </c>
      <c r="B89" s="18" t="s">
        <v>290</v>
      </c>
      <c r="C89" s="19" t="s">
        <v>241</v>
      </c>
      <c r="D89" s="19" t="str">
        <f t="shared" si="26"/>
        <v>rokwzgl=0 i lp=94110</v>
      </c>
      <c r="E89" s="19" t="str">
        <f t="shared" si="26"/>
        <v>rokwzgl=0 i lp=94110</v>
      </c>
      <c r="F89" s="19" t="str">
        <f t="shared" si="26"/>
        <v>rokwzgl=1 i lp=94110</v>
      </c>
      <c r="G89" s="19" t="str">
        <f t="shared" si="26"/>
        <v>rokwzgl=2 i lp=94110</v>
      </c>
      <c r="H89" s="19" t="str">
        <f t="shared" si="26"/>
        <v>rokwzgl=3 i lp=94110</v>
      </c>
      <c r="I89" s="19" t="str">
        <f t="shared" si="26"/>
        <v>rokwzgl=4 i lp=94110</v>
      </c>
      <c r="J89" s="19" t="str">
        <f t="shared" si="26"/>
        <v>rokwzgl=5 i lp=94110</v>
      </c>
      <c r="K89" s="19" t="str">
        <f t="shared" si="26"/>
        <v>rokwzgl=6 i lp=94110</v>
      </c>
      <c r="L89" s="19" t="str">
        <f t="shared" si="26"/>
        <v>rokwzgl=7 i lp=94110</v>
      </c>
      <c r="M89" s="19" t="str">
        <f t="shared" si="26"/>
        <v>rokwzgl=8 i lp=94110</v>
      </c>
      <c r="N89" s="19" t="str">
        <f t="shared" si="29"/>
        <v>rokwzgl=9 i lp=94110</v>
      </c>
      <c r="O89" s="19" t="str">
        <f t="shared" si="29"/>
        <v>rokwzgl=10 i lp=94110</v>
      </c>
      <c r="P89" s="19" t="str">
        <f t="shared" si="29"/>
        <v>rokwzgl=11 i lp=94110</v>
      </c>
      <c r="Q89" s="19" t="str">
        <f t="shared" si="29"/>
        <v>rokwzgl=12 i lp=94110</v>
      </c>
      <c r="R89" s="19" t="str">
        <f t="shared" si="29"/>
        <v>rokwzgl=13 i lp=94110</v>
      </c>
      <c r="S89" s="19" t="str">
        <f t="shared" si="29"/>
        <v>rokwzgl=14 i lp=94110</v>
      </c>
      <c r="T89" s="19" t="str">
        <f t="shared" si="29"/>
        <v>rokwzgl=15 i lp=94110</v>
      </c>
      <c r="U89" s="19" t="str">
        <f t="shared" si="29"/>
        <v>rokwzgl=16 i lp=94110</v>
      </c>
      <c r="V89" s="19" t="str">
        <f t="shared" si="29"/>
        <v>rokwzgl=17 i lp=94110</v>
      </c>
      <c r="W89" s="19" t="str">
        <f t="shared" si="29"/>
        <v>rokwzgl=18 i lp=94110</v>
      </c>
      <c r="X89" s="19" t="str">
        <f t="shared" si="32"/>
        <v>rokwzgl=19 i lp=94110</v>
      </c>
      <c r="Y89" s="19" t="str">
        <f t="shared" si="32"/>
        <v>rokwzgl=20 i lp=94110</v>
      </c>
      <c r="Z89" s="19" t="str">
        <f t="shared" si="32"/>
        <v>rokwzgl=21 i lp=94110</v>
      </c>
      <c r="AA89" s="19" t="str">
        <f t="shared" si="32"/>
        <v>rokwzgl=22 i lp=94110</v>
      </c>
      <c r="AB89" s="19" t="str">
        <f t="shared" si="32"/>
        <v>rokwzgl=23 i lp=94110</v>
      </c>
      <c r="AC89" s="19" t="str">
        <f t="shared" si="32"/>
        <v>rokwzgl=24 i lp=94110</v>
      </c>
      <c r="AD89" s="19" t="str">
        <f t="shared" si="32"/>
        <v>rokwzgl=25 i lp=94110</v>
      </c>
      <c r="AE89" s="19" t="str">
        <f t="shared" si="32"/>
        <v>rokwzgl=26 i lp=94110</v>
      </c>
      <c r="AF89" s="19" t="str">
        <f t="shared" si="32"/>
        <v>rokwzgl=27 i lp=94110</v>
      </c>
      <c r="AG89" s="19" t="str">
        <f t="shared" si="32"/>
        <v>rokwzgl=28 i lp=94110</v>
      </c>
      <c r="AH89" s="19" t="str">
        <f t="shared" si="32"/>
        <v>rokwzgl=29 i lp=94110</v>
      </c>
      <c r="AI89" s="19" t="str">
        <f t="shared" si="32"/>
        <v>rokwzgl=30 i lp=94110</v>
      </c>
      <c r="AJ89" s="19" t="str">
        <f t="shared" si="31"/>
        <v>rokwzgl=31 i lp=94110</v>
      </c>
      <c r="AK89" s="19" t="str">
        <f t="shared" si="31"/>
        <v>rokwzgl=32 i lp=94110</v>
      </c>
      <c r="AL89" s="19" t="str">
        <f t="shared" si="31"/>
        <v>rokwzgl=33 i lp=94110</v>
      </c>
      <c r="AM89" s="19" t="str">
        <f t="shared" si="31"/>
        <v>rokwzgl=34 i lp=94110</v>
      </c>
      <c r="AN89" s="19" t="str">
        <f t="shared" si="30"/>
        <v>rokwzgl=35 i lp=94110</v>
      </c>
      <c r="AO89" s="19" t="str">
        <f t="shared" si="30"/>
        <v>rokwzgl=36 i lp=94110</v>
      </c>
      <c r="AP89" s="19" t="str">
        <f t="shared" si="30"/>
        <v>rokwzgl=37 i lp=94110</v>
      </c>
      <c r="AQ89" s="19" t="str">
        <f t="shared" si="30"/>
        <v>rokwzgl=38 i lp=94110</v>
      </c>
      <c r="AR89" s="19" t="str">
        <f t="shared" si="30"/>
        <v>rokwzgl=39 i lp=94110</v>
      </c>
    </row>
    <row r="90" spans="1:44">
      <c r="A90" s="74">
        <v>100000</v>
      </c>
      <c r="B90" s="18">
        <v>10</v>
      </c>
      <c r="C90" s="19" t="s">
        <v>244</v>
      </c>
      <c r="D90" s="19" t="str">
        <f t="shared" si="26"/>
        <v>rokwzgl=0 i lp=100000</v>
      </c>
      <c r="E90" s="19" t="str">
        <f t="shared" si="26"/>
        <v>rokwzgl=0 i lp=100000</v>
      </c>
      <c r="F90" s="19" t="str">
        <f t="shared" si="26"/>
        <v>rokwzgl=1 i lp=100000</v>
      </c>
      <c r="G90" s="19" t="str">
        <f t="shared" si="26"/>
        <v>rokwzgl=2 i lp=100000</v>
      </c>
      <c r="H90" s="19" t="str">
        <f t="shared" si="26"/>
        <v>rokwzgl=3 i lp=100000</v>
      </c>
      <c r="I90" s="19" t="str">
        <f t="shared" si="26"/>
        <v>rokwzgl=4 i lp=100000</v>
      </c>
      <c r="J90" s="19" t="str">
        <f t="shared" si="26"/>
        <v>rokwzgl=5 i lp=100000</v>
      </c>
      <c r="K90" s="19" t="str">
        <f t="shared" si="26"/>
        <v>rokwzgl=6 i lp=100000</v>
      </c>
      <c r="L90" s="19" t="str">
        <f t="shared" si="26"/>
        <v>rokwzgl=7 i lp=100000</v>
      </c>
      <c r="M90" s="19" t="str">
        <f t="shared" si="26"/>
        <v>rokwzgl=8 i lp=100000</v>
      </c>
      <c r="N90" s="19" t="str">
        <f t="shared" si="29"/>
        <v>rokwzgl=9 i lp=100000</v>
      </c>
      <c r="O90" s="19" t="str">
        <f t="shared" si="29"/>
        <v>rokwzgl=10 i lp=100000</v>
      </c>
      <c r="P90" s="19" t="str">
        <f t="shared" si="29"/>
        <v>rokwzgl=11 i lp=100000</v>
      </c>
      <c r="Q90" s="19" t="str">
        <f t="shared" si="29"/>
        <v>rokwzgl=12 i lp=100000</v>
      </c>
      <c r="R90" s="19" t="str">
        <f t="shared" si="29"/>
        <v>rokwzgl=13 i lp=100000</v>
      </c>
      <c r="S90" s="19" t="str">
        <f t="shared" si="29"/>
        <v>rokwzgl=14 i lp=100000</v>
      </c>
      <c r="T90" s="19" t="str">
        <f t="shared" si="29"/>
        <v>rokwzgl=15 i lp=100000</v>
      </c>
      <c r="U90" s="19" t="str">
        <f t="shared" si="29"/>
        <v>rokwzgl=16 i lp=100000</v>
      </c>
      <c r="V90" s="19" t="str">
        <f t="shared" si="29"/>
        <v>rokwzgl=17 i lp=100000</v>
      </c>
      <c r="W90" s="19" t="str">
        <f t="shared" si="29"/>
        <v>rokwzgl=18 i lp=100000</v>
      </c>
      <c r="X90" s="19" t="str">
        <f t="shared" ref="X90:AI98" si="33">+"rokwzgl="&amp;X$9&amp;" i lp="&amp;$A90</f>
        <v>rokwzgl=19 i lp=100000</v>
      </c>
      <c r="Y90" s="19" t="str">
        <f t="shared" si="33"/>
        <v>rokwzgl=20 i lp=100000</v>
      </c>
      <c r="Z90" s="19" t="str">
        <f t="shared" si="33"/>
        <v>rokwzgl=21 i lp=100000</v>
      </c>
      <c r="AA90" s="19" t="str">
        <f t="shared" si="33"/>
        <v>rokwzgl=22 i lp=100000</v>
      </c>
      <c r="AB90" s="19" t="str">
        <f t="shared" si="33"/>
        <v>rokwzgl=23 i lp=100000</v>
      </c>
      <c r="AC90" s="19" t="str">
        <f t="shared" si="33"/>
        <v>rokwzgl=24 i lp=100000</v>
      </c>
      <c r="AD90" s="19" t="str">
        <f t="shared" si="33"/>
        <v>rokwzgl=25 i lp=100000</v>
      </c>
      <c r="AE90" s="19" t="str">
        <f t="shared" si="33"/>
        <v>rokwzgl=26 i lp=100000</v>
      </c>
      <c r="AF90" s="19" t="str">
        <f t="shared" si="33"/>
        <v>rokwzgl=27 i lp=100000</v>
      </c>
      <c r="AG90" s="19" t="str">
        <f t="shared" si="33"/>
        <v>rokwzgl=28 i lp=100000</v>
      </c>
      <c r="AH90" s="19" t="str">
        <f t="shared" si="33"/>
        <v>rokwzgl=29 i lp=100000</v>
      </c>
      <c r="AI90" s="19" t="str">
        <f t="shared" si="33"/>
        <v>rokwzgl=30 i lp=100000</v>
      </c>
      <c r="AJ90" s="19" t="str">
        <f t="shared" si="31"/>
        <v>rokwzgl=31 i lp=100000</v>
      </c>
      <c r="AK90" s="19" t="str">
        <f t="shared" si="31"/>
        <v>rokwzgl=32 i lp=100000</v>
      </c>
      <c r="AL90" s="19" t="str">
        <f t="shared" si="31"/>
        <v>rokwzgl=33 i lp=100000</v>
      </c>
      <c r="AM90" s="19" t="str">
        <f t="shared" si="31"/>
        <v>rokwzgl=34 i lp=100000</v>
      </c>
      <c r="AN90" s="19" t="str">
        <f t="shared" si="30"/>
        <v>rokwzgl=35 i lp=100000</v>
      </c>
      <c r="AO90" s="19" t="str">
        <f t="shared" si="30"/>
        <v>rokwzgl=36 i lp=100000</v>
      </c>
      <c r="AP90" s="19" t="str">
        <f t="shared" si="30"/>
        <v>rokwzgl=37 i lp=100000</v>
      </c>
      <c r="AQ90" s="19" t="str">
        <f t="shared" si="30"/>
        <v>rokwzgl=38 i lp=100000</v>
      </c>
      <c r="AR90" s="19" t="str">
        <f t="shared" si="30"/>
        <v>rokwzgl=39 i lp=100000</v>
      </c>
    </row>
    <row r="91" spans="1:44">
      <c r="A91" s="74">
        <v>101000</v>
      </c>
      <c r="B91" s="18" t="s">
        <v>70</v>
      </c>
      <c r="C91" s="19" t="s">
        <v>245</v>
      </c>
      <c r="D91" s="19" t="str">
        <f t="shared" si="26"/>
        <v>rokwzgl=0 i lp=101000</v>
      </c>
      <c r="E91" s="19" t="str">
        <f t="shared" si="26"/>
        <v>rokwzgl=0 i lp=101000</v>
      </c>
      <c r="F91" s="19" t="str">
        <f t="shared" si="26"/>
        <v>rokwzgl=1 i lp=101000</v>
      </c>
      <c r="G91" s="19" t="str">
        <f t="shared" si="26"/>
        <v>rokwzgl=2 i lp=101000</v>
      </c>
      <c r="H91" s="19" t="str">
        <f t="shared" si="26"/>
        <v>rokwzgl=3 i lp=101000</v>
      </c>
      <c r="I91" s="19" t="str">
        <f t="shared" si="26"/>
        <v>rokwzgl=4 i lp=101000</v>
      </c>
      <c r="J91" s="19" t="str">
        <f t="shared" si="26"/>
        <v>rokwzgl=5 i lp=101000</v>
      </c>
      <c r="K91" s="19" t="str">
        <f t="shared" si="26"/>
        <v>rokwzgl=6 i lp=101000</v>
      </c>
      <c r="L91" s="19" t="str">
        <f t="shared" si="26"/>
        <v>rokwzgl=7 i lp=101000</v>
      </c>
      <c r="M91" s="19" t="str">
        <f t="shared" si="26"/>
        <v>rokwzgl=8 i lp=101000</v>
      </c>
      <c r="N91" s="19" t="str">
        <f t="shared" si="29"/>
        <v>rokwzgl=9 i lp=101000</v>
      </c>
      <c r="O91" s="19" t="str">
        <f t="shared" si="29"/>
        <v>rokwzgl=10 i lp=101000</v>
      </c>
      <c r="P91" s="19" t="str">
        <f t="shared" si="29"/>
        <v>rokwzgl=11 i lp=101000</v>
      </c>
      <c r="Q91" s="19" t="str">
        <f t="shared" si="29"/>
        <v>rokwzgl=12 i lp=101000</v>
      </c>
      <c r="R91" s="19" t="str">
        <f t="shared" si="29"/>
        <v>rokwzgl=13 i lp=101000</v>
      </c>
      <c r="S91" s="19" t="str">
        <f t="shared" si="29"/>
        <v>rokwzgl=14 i lp=101000</v>
      </c>
      <c r="T91" s="19" t="str">
        <f t="shared" si="29"/>
        <v>rokwzgl=15 i lp=101000</v>
      </c>
      <c r="U91" s="19" t="str">
        <f t="shared" si="29"/>
        <v>rokwzgl=16 i lp=101000</v>
      </c>
      <c r="V91" s="19" t="str">
        <f t="shared" si="29"/>
        <v>rokwzgl=17 i lp=101000</v>
      </c>
      <c r="W91" s="19" t="str">
        <f t="shared" si="29"/>
        <v>rokwzgl=18 i lp=101000</v>
      </c>
      <c r="X91" s="19" t="str">
        <f t="shared" si="33"/>
        <v>rokwzgl=19 i lp=101000</v>
      </c>
      <c r="Y91" s="19" t="str">
        <f t="shared" si="33"/>
        <v>rokwzgl=20 i lp=101000</v>
      </c>
      <c r="Z91" s="19" t="str">
        <f t="shared" si="33"/>
        <v>rokwzgl=21 i lp=101000</v>
      </c>
      <c r="AA91" s="19" t="str">
        <f t="shared" si="33"/>
        <v>rokwzgl=22 i lp=101000</v>
      </c>
      <c r="AB91" s="19" t="str">
        <f t="shared" si="33"/>
        <v>rokwzgl=23 i lp=101000</v>
      </c>
      <c r="AC91" s="19" t="str">
        <f t="shared" si="33"/>
        <v>rokwzgl=24 i lp=101000</v>
      </c>
      <c r="AD91" s="19" t="str">
        <f t="shared" si="33"/>
        <v>rokwzgl=25 i lp=101000</v>
      </c>
      <c r="AE91" s="19" t="str">
        <f t="shared" si="33"/>
        <v>rokwzgl=26 i lp=101000</v>
      </c>
      <c r="AF91" s="19" t="str">
        <f t="shared" si="33"/>
        <v>rokwzgl=27 i lp=101000</v>
      </c>
      <c r="AG91" s="19" t="str">
        <f t="shared" si="33"/>
        <v>rokwzgl=28 i lp=101000</v>
      </c>
      <c r="AH91" s="19" t="str">
        <f t="shared" si="33"/>
        <v>rokwzgl=29 i lp=101000</v>
      </c>
      <c r="AI91" s="19" t="str">
        <f t="shared" si="33"/>
        <v>rokwzgl=30 i lp=101000</v>
      </c>
      <c r="AJ91" s="19" t="str">
        <f t="shared" si="31"/>
        <v>rokwzgl=31 i lp=101000</v>
      </c>
      <c r="AK91" s="19" t="str">
        <f t="shared" si="31"/>
        <v>rokwzgl=32 i lp=101000</v>
      </c>
      <c r="AL91" s="19" t="str">
        <f t="shared" si="31"/>
        <v>rokwzgl=33 i lp=101000</v>
      </c>
      <c r="AM91" s="19" t="str">
        <f t="shared" si="31"/>
        <v>rokwzgl=34 i lp=101000</v>
      </c>
      <c r="AN91" s="19" t="str">
        <f t="shared" si="30"/>
        <v>rokwzgl=35 i lp=101000</v>
      </c>
      <c r="AO91" s="19" t="str">
        <f t="shared" si="30"/>
        <v>rokwzgl=36 i lp=101000</v>
      </c>
      <c r="AP91" s="19" t="str">
        <f t="shared" si="30"/>
        <v>rokwzgl=37 i lp=101000</v>
      </c>
      <c r="AQ91" s="19" t="str">
        <f t="shared" si="30"/>
        <v>rokwzgl=38 i lp=101000</v>
      </c>
      <c r="AR91" s="19" t="str">
        <f t="shared" si="30"/>
        <v>rokwzgl=39 i lp=101000</v>
      </c>
    </row>
    <row r="92" spans="1:44">
      <c r="A92" s="74">
        <v>101100</v>
      </c>
      <c r="B92" s="18" t="s">
        <v>291</v>
      </c>
      <c r="C92" s="19" t="s">
        <v>246</v>
      </c>
      <c r="D92" s="19" t="str">
        <f t="shared" si="26"/>
        <v>rokwzgl=0 i lp=101100</v>
      </c>
      <c r="E92" s="19" t="str">
        <f t="shared" si="26"/>
        <v>rokwzgl=0 i lp=101100</v>
      </c>
      <c r="F92" s="19" t="str">
        <f t="shared" si="26"/>
        <v>rokwzgl=1 i lp=101100</v>
      </c>
      <c r="G92" s="19" t="str">
        <f t="shared" si="26"/>
        <v>rokwzgl=2 i lp=101100</v>
      </c>
      <c r="H92" s="19" t="str">
        <f t="shared" si="26"/>
        <v>rokwzgl=3 i lp=101100</v>
      </c>
      <c r="I92" s="19" t="str">
        <f t="shared" si="26"/>
        <v>rokwzgl=4 i lp=101100</v>
      </c>
      <c r="J92" s="19" t="str">
        <f t="shared" si="26"/>
        <v>rokwzgl=5 i lp=101100</v>
      </c>
      <c r="K92" s="19" t="str">
        <f t="shared" si="26"/>
        <v>rokwzgl=6 i lp=101100</v>
      </c>
      <c r="L92" s="19" t="str">
        <f t="shared" si="26"/>
        <v>rokwzgl=7 i lp=101100</v>
      </c>
      <c r="M92" s="19" t="str">
        <f t="shared" si="26"/>
        <v>rokwzgl=8 i lp=101100</v>
      </c>
      <c r="N92" s="19" t="str">
        <f t="shared" si="29"/>
        <v>rokwzgl=9 i lp=101100</v>
      </c>
      <c r="O92" s="19" t="str">
        <f t="shared" si="29"/>
        <v>rokwzgl=10 i lp=101100</v>
      </c>
      <c r="P92" s="19" t="str">
        <f t="shared" si="29"/>
        <v>rokwzgl=11 i lp=101100</v>
      </c>
      <c r="Q92" s="19" t="str">
        <f t="shared" si="29"/>
        <v>rokwzgl=12 i lp=101100</v>
      </c>
      <c r="R92" s="19" t="str">
        <f t="shared" si="29"/>
        <v>rokwzgl=13 i lp=101100</v>
      </c>
      <c r="S92" s="19" t="str">
        <f t="shared" si="29"/>
        <v>rokwzgl=14 i lp=101100</v>
      </c>
      <c r="T92" s="19" t="str">
        <f t="shared" si="29"/>
        <v>rokwzgl=15 i lp=101100</v>
      </c>
      <c r="U92" s="19" t="str">
        <f t="shared" si="29"/>
        <v>rokwzgl=16 i lp=101100</v>
      </c>
      <c r="V92" s="19" t="str">
        <f t="shared" si="29"/>
        <v>rokwzgl=17 i lp=101100</v>
      </c>
      <c r="W92" s="19" t="str">
        <f t="shared" si="29"/>
        <v>rokwzgl=18 i lp=101100</v>
      </c>
      <c r="X92" s="19" t="str">
        <f t="shared" si="33"/>
        <v>rokwzgl=19 i lp=101100</v>
      </c>
      <c r="Y92" s="19" t="str">
        <f t="shared" si="33"/>
        <v>rokwzgl=20 i lp=101100</v>
      </c>
      <c r="Z92" s="19" t="str">
        <f t="shared" si="33"/>
        <v>rokwzgl=21 i lp=101100</v>
      </c>
      <c r="AA92" s="19" t="str">
        <f t="shared" si="33"/>
        <v>rokwzgl=22 i lp=101100</v>
      </c>
      <c r="AB92" s="19" t="str">
        <f t="shared" si="33"/>
        <v>rokwzgl=23 i lp=101100</v>
      </c>
      <c r="AC92" s="19" t="str">
        <f t="shared" si="33"/>
        <v>rokwzgl=24 i lp=101100</v>
      </c>
      <c r="AD92" s="19" t="str">
        <f t="shared" si="33"/>
        <v>rokwzgl=25 i lp=101100</v>
      </c>
      <c r="AE92" s="19" t="str">
        <f t="shared" si="33"/>
        <v>rokwzgl=26 i lp=101100</v>
      </c>
      <c r="AF92" s="19" t="str">
        <f t="shared" si="33"/>
        <v>rokwzgl=27 i lp=101100</v>
      </c>
      <c r="AG92" s="19" t="str">
        <f t="shared" si="33"/>
        <v>rokwzgl=28 i lp=101100</v>
      </c>
      <c r="AH92" s="19" t="str">
        <f t="shared" si="33"/>
        <v>rokwzgl=29 i lp=101100</v>
      </c>
      <c r="AI92" s="19" t="str">
        <f t="shared" si="33"/>
        <v>rokwzgl=30 i lp=101100</v>
      </c>
      <c r="AJ92" s="19" t="str">
        <f t="shared" si="31"/>
        <v>rokwzgl=31 i lp=101100</v>
      </c>
      <c r="AK92" s="19" t="str">
        <f t="shared" si="31"/>
        <v>rokwzgl=32 i lp=101100</v>
      </c>
      <c r="AL92" s="19" t="str">
        <f t="shared" si="31"/>
        <v>rokwzgl=33 i lp=101100</v>
      </c>
      <c r="AM92" s="19" t="str">
        <f t="shared" si="31"/>
        <v>rokwzgl=34 i lp=101100</v>
      </c>
      <c r="AN92" s="19" t="str">
        <f t="shared" si="30"/>
        <v>rokwzgl=35 i lp=101100</v>
      </c>
      <c r="AO92" s="19" t="str">
        <f t="shared" si="30"/>
        <v>rokwzgl=36 i lp=101100</v>
      </c>
      <c r="AP92" s="19" t="str">
        <f t="shared" si="30"/>
        <v>rokwzgl=37 i lp=101100</v>
      </c>
      <c r="AQ92" s="19" t="str">
        <f t="shared" si="30"/>
        <v>rokwzgl=38 i lp=101100</v>
      </c>
      <c r="AR92" s="19" t="str">
        <f t="shared" si="30"/>
        <v>rokwzgl=39 i lp=101100</v>
      </c>
    </row>
    <row r="93" spans="1:44">
      <c r="A93" s="74">
        <v>101200</v>
      </c>
      <c r="B93" s="18" t="s">
        <v>292</v>
      </c>
      <c r="C93" s="19" t="s">
        <v>247</v>
      </c>
      <c r="D93" s="19" t="str">
        <f t="shared" si="26"/>
        <v>rokwzgl=0 i lp=101200</v>
      </c>
      <c r="E93" s="19" t="str">
        <f t="shared" si="26"/>
        <v>rokwzgl=0 i lp=101200</v>
      </c>
      <c r="F93" s="19" t="str">
        <f t="shared" si="26"/>
        <v>rokwzgl=1 i lp=101200</v>
      </c>
      <c r="G93" s="19" t="str">
        <f t="shared" si="26"/>
        <v>rokwzgl=2 i lp=101200</v>
      </c>
      <c r="H93" s="19" t="str">
        <f t="shared" si="26"/>
        <v>rokwzgl=3 i lp=101200</v>
      </c>
      <c r="I93" s="19" t="str">
        <f t="shared" si="26"/>
        <v>rokwzgl=4 i lp=101200</v>
      </c>
      <c r="J93" s="19" t="str">
        <f t="shared" si="26"/>
        <v>rokwzgl=5 i lp=101200</v>
      </c>
      <c r="K93" s="19" t="str">
        <f t="shared" si="26"/>
        <v>rokwzgl=6 i lp=101200</v>
      </c>
      <c r="L93" s="19" t="str">
        <f t="shared" si="26"/>
        <v>rokwzgl=7 i lp=101200</v>
      </c>
      <c r="M93" s="19" t="str">
        <f t="shared" si="26"/>
        <v>rokwzgl=8 i lp=101200</v>
      </c>
      <c r="N93" s="19" t="str">
        <f t="shared" si="29"/>
        <v>rokwzgl=9 i lp=101200</v>
      </c>
      <c r="O93" s="19" t="str">
        <f t="shared" si="29"/>
        <v>rokwzgl=10 i lp=101200</v>
      </c>
      <c r="P93" s="19" t="str">
        <f t="shared" si="29"/>
        <v>rokwzgl=11 i lp=101200</v>
      </c>
      <c r="Q93" s="19" t="str">
        <f t="shared" si="29"/>
        <v>rokwzgl=12 i lp=101200</v>
      </c>
      <c r="R93" s="19" t="str">
        <f t="shared" si="29"/>
        <v>rokwzgl=13 i lp=101200</v>
      </c>
      <c r="S93" s="19" t="str">
        <f t="shared" si="29"/>
        <v>rokwzgl=14 i lp=101200</v>
      </c>
      <c r="T93" s="19" t="str">
        <f t="shared" si="29"/>
        <v>rokwzgl=15 i lp=101200</v>
      </c>
      <c r="U93" s="19" t="str">
        <f t="shared" si="29"/>
        <v>rokwzgl=16 i lp=101200</v>
      </c>
      <c r="V93" s="19" t="str">
        <f t="shared" si="29"/>
        <v>rokwzgl=17 i lp=101200</v>
      </c>
      <c r="W93" s="19" t="str">
        <f t="shared" si="29"/>
        <v>rokwzgl=18 i lp=101200</v>
      </c>
      <c r="X93" s="19" t="str">
        <f t="shared" si="33"/>
        <v>rokwzgl=19 i lp=101200</v>
      </c>
      <c r="Y93" s="19" t="str">
        <f t="shared" si="33"/>
        <v>rokwzgl=20 i lp=101200</v>
      </c>
      <c r="Z93" s="19" t="str">
        <f t="shared" si="33"/>
        <v>rokwzgl=21 i lp=101200</v>
      </c>
      <c r="AA93" s="19" t="str">
        <f t="shared" si="33"/>
        <v>rokwzgl=22 i lp=101200</v>
      </c>
      <c r="AB93" s="19" t="str">
        <f t="shared" si="33"/>
        <v>rokwzgl=23 i lp=101200</v>
      </c>
      <c r="AC93" s="19" t="str">
        <f t="shared" si="33"/>
        <v>rokwzgl=24 i lp=101200</v>
      </c>
      <c r="AD93" s="19" t="str">
        <f t="shared" si="33"/>
        <v>rokwzgl=25 i lp=101200</v>
      </c>
      <c r="AE93" s="19" t="str">
        <f t="shared" si="33"/>
        <v>rokwzgl=26 i lp=101200</v>
      </c>
      <c r="AF93" s="19" t="str">
        <f t="shared" si="33"/>
        <v>rokwzgl=27 i lp=101200</v>
      </c>
      <c r="AG93" s="19" t="str">
        <f t="shared" si="33"/>
        <v>rokwzgl=28 i lp=101200</v>
      </c>
      <c r="AH93" s="19" t="str">
        <f t="shared" si="33"/>
        <v>rokwzgl=29 i lp=101200</v>
      </c>
      <c r="AI93" s="19" t="str">
        <f t="shared" si="33"/>
        <v>rokwzgl=30 i lp=101200</v>
      </c>
      <c r="AJ93" s="19" t="str">
        <f t="shared" si="31"/>
        <v>rokwzgl=31 i lp=101200</v>
      </c>
      <c r="AK93" s="19" t="str">
        <f t="shared" si="31"/>
        <v>rokwzgl=32 i lp=101200</v>
      </c>
      <c r="AL93" s="19" t="str">
        <f t="shared" si="31"/>
        <v>rokwzgl=33 i lp=101200</v>
      </c>
      <c r="AM93" s="19" t="str">
        <f t="shared" si="31"/>
        <v>rokwzgl=34 i lp=101200</v>
      </c>
      <c r="AN93" s="19" t="str">
        <f t="shared" si="30"/>
        <v>rokwzgl=35 i lp=101200</v>
      </c>
      <c r="AO93" s="19" t="str">
        <f t="shared" si="30"/>
        <v>rokwzgl=36 i lp=101200</v>
      </c>
      <c r="AP93" s="19" t="str">
        <f t="shared" si="30"/>
        <v>rokwzgl=37 i lp=101200</v>
      </c>
      <c r="AQ93" s="19" t="str">
        <f t="shared" si="30"/>
        <v>rokwzgl=38 i lp=101200</v>
      </c>
      <c r="AR93" s="19" t="str">
        <f t="shared" si="30"/>
        <v>rokwzgl=39 i lp=101200</v>
      </c>
    </row>
    <row r="94" spans="1:44">
      <c r="A94" s="74">
        <v>102000</v>
      </c>
      <c r="B94" s="18" t="s">
        <v>305</v>
      </c>
      <c r="C94" s="19" t="s">
        <v>248</v>
      </c>
      <c r="D94" s="19" t="str">
        <f t="shared" si="26"/>
        <v>rokwzgl=0 i lp=102000</v>
      </c>
      <c r="E94" s="19" t="str">
        <f t="shared" si="26"/>
        <v>rokwzgl=0 i lp=102000</v>
      </c>
      <c r="F94" s="19" t="str">
        <f t="shared" si="26"/>
        <v>rokwzgl=1 i lp=102000</v>
      </c>
      <c r="G94" s="19" t="str">
        <f t="shared" si="26"/>
        <v>rokwzgl=2 i lp=102000</v>
      </c>
      <c r="H94" s="19" t="str">
        <f t="shared" si="26"/>
        <v>rokwzgl=3 i lp=102000</v>
      </c>
      <c r="I94" s="19" t="str">
        <f t="shared" si="26"/>
        <v>rokwzgl=4 i lp=102000</v>
      </c>
      <c r="J94" s="19" t="str">
        <f t="shared" si="26"/>
        <v>rokwzgl=5 i lp=102000</v>
      </c>
      <c r="K94" s="19" t="str">
        <f t="shared" si="26"/>
        <v>rokwzgl=6 i lp=102000</v>
      </c>
      <c r="L94" s="19" t="str">
        <f t="shared" si="26"/>
        <v>rokwzgl=7 i lp=102000</v>
      </c>
      <c r="M94" s="19" t="str">
        <f t="shared" si="26"/>
        <v>rokwzgl=8 i lp=102000</v>
      </c>
      <c r="N94" s="19" t="str">
        <f t="shared" si="29"/>
        <v>rokwzgl=9 i lp=102000</v>
      </c>
      <c r="O94" s="19" t="str">
        <f t="shared" si="29"/>
        <v>rokwzgl=10 i lp=102000</v>
      </c>
      <c r="P94" s="19" t="str">
        <f t="shared" si="29"/>
        <v>rokwzgl=11 i lp=102000</v>
      </c>
      <c r="Q94" s="19" t="str">
        <f t="shared" si="29"/>
        <v>rokwzgl=12 i lp=102000</v>
      </c>
      <c r="R94" s="19" t="str">
        <f t="shared" si="29"/>
        <v>rokwzgl=13 i lp=102000</v>
      </c>
      <c r="S94" s="19" t="str">
        <f t="shared" si="29"/>
        <v>rokwzgl=14 i lp=102000</v>
      </c>
      <c r="T94" s="19" t="str">
        <f t="shared" si="29"/>
        <v>rokwzgl=15 i lp=102000</v>
      </c>
      <c r="U94" s="19" t="str">
        <f t="shared" si="29"/>
        <v>rokwzgl=16 i lp=102000</v>
      </c>
      <c r="V94" s="19" t="str">
        <f t="shared" si="29"/>
        <v>rokwzgl=17 i lp=102000</v>
      </c>
      <c r="W94" s="19" t="str">
        <f t="shared" si="29"/>
        <v>rokwzgl=18 i lp=102000</v>
      </c>
      <c r="X94" s="19" t="str">
        <f t="shared" si="33"/>
        <v>rokwzgl=19 i lp=102000</v>
      </c>
      <c r="Y94" s="19" t="str">
        <f t="shared" si="33"/>
        <v>rokwzgl=20 i lp=102000</v>
      </c>
      <c r="Z94" s="19" t="str">
        <f t="shared" si="33"/>
        <v>rokwzgl=21 i lp=102000</v>
      </c>
      <c r="AA94" s="19" t="str">
        <f t="shared" si="33"/>
        <v>rokwzgl=22 i lp=102000</v>
      </c>
      <c r="AB94" s="19" t="str">
        <f t="shared" si="33"/>
        <v>rokwzgl=23 i lp=102000</v>
      </c>
      <c r="AC94" s="19" t="str">
        <f t="shared" si="33"/>
        <v>rokwzgl=24 i lp=102000</v>
      </c>
      <c r="AD94" s="19" t="str">
        <f t="shared" si="33"/>
        <v>rokwzgl=25 i lp=102000</v>
      </c>
      <c r="AE94" s="19" t="str">
        <f t="shared" si="33"/>
        <v>rokwzgl=26 i lp=102000</v>
      </c>
      <c r="AF94" s="19" t="str">
        <f t="shared" si="33"/>
        <v>rokwzgl=27 i lp=102000</v>
      </c>
      <c r="AG94" s="19" t="str">
        <f t="shared" si="33"/>
        <v>rokwzgl=28 i lp=102000</v>
      </c>
      <c r="AH94" s="19" t="str">
        <f t="shared" si="33"/>
        <v>rokwzgl=29 i lp=102000</v>
      </c>
      <c r="AI94" s="19" t="str">
        <f t="shared" si="33"/>
        <v>rokwzgl=30 i lp=102000</v>
      </c>
      <c r="AJ94" s="19" t="str">
        <f t="shared" si="31"/>
        <v>rokwzgl=31 i lp=102000</v>
      </c>
      <c r="AK94" s="19" t="str">
        <f t="shared" si="31"/>
        <v>rokwzgl=32 i lp=102000</v>
      </c>
      <c r="AL94" s="19" t="str">
        <f t="shared" si="31"/>
        <v>rokwzgl=33 i lp=102000</v>
      </c>
      <c r="AM94" s="19" t="str">
        <f t="shared" si="31"/>
        <v>rokwzgl=34 i lp=102000</v>
      </c>
      <c r="AN94" s="19" t="str">
        <f t="shared" si="30"/>
        <v>rokwzgl=35 i lp=102000</v>
      </c>
      <c r="AO94" s="19" t="str">
        <f t="shared" si="30"/>
        <v>rokwzgl=36 i lp=102000</v>
      </c>
      <c r="AP94" s="19" t="str">
        <f t="shared" si="30"/>
        <v>rokwzgl=37 i lp=102000</v>
      </c>
      <c r="AQ94" s="19" t="str">
        <f t="shared" si="30"/>
        <v>rokwzgl=38 i lp=102000</v>
      </c>
      <c r="AR94" s="19" t="str">
        <f t="shared" si="30"/>
        <v>rokwzgl=39 i lp=102000</v>
      </c>
    </row>
    <row r="95" spans="1:44">
      <c r="A95" s="74">
        <v>103000</v>
      </c>
      <c r="B95" s="18" t="s">
        <v>306</v>
      </c>
      <c r="C95" s="19" t="s">
        <v>249</v>
      </c>
      <c r="D95" s="19" t="str">
        <f t="shared" si="26"/>
        <v>rokwzgl=0 i lp=103000</v>
      </c>
      <c r="E95" s="19" t="str">
        <f t="shared" si="26"/>
        <v>rokwzgl=0 i lp=103000</v>
      </c>
      <c r="F95" s="19" t="str">
        <f t="shared" si="26"/>
        <v>rokwzgl=1 i lp=103000</v>
      </c>
      <c r="G95" s="19" t="str">
        <f t="shared" si="26"/>
        <v>rokwzgl=2 i lp=103000</v>
      </c>
      <c r="H95" s="19" t="str">
        <f t="shared" si="26"/>
        <v>rokwzgl=3 i lp=103000</v>
      </c>
      <c r="I95" s="19" t="str">
        <f t="shared" si="26"/>
        <v>rokwzgl=4 i lp=103000</v>
      </c>
      <c r="J95" s="19" t="str">
        <f t="shared" si="26"/>
        <v>rokwzgl=5 i lp=103000</v>
      </c>
      <c r="K95" s="19" t="str">
        <f t="shared" si="26"/>
        <v>rokwzgl=6 i lp=103000</v>
      </c>
      <c r="L95" s="19" t="str">
        <f t="shared" si="26"/>
        <v>rokwzgl=7 i lp=103000</v>
      </c>
      <c r="M95" s="19" t="str">
        <f t="shared" si="26"/>
        <v>rokwzgl=8 i lp=103000</v>
      </c>
      <c r="N95" s="19" t="str">
        <f t="shared" si="29"/>
        <v>rokwzgl=9 i lp=103000</v>
      </c>
      <c r="O95" s="19" t="str">
        <f t="shared" si="29"/>
        <v>rokwzgl=10 i lp=103000</v>
      </c>
      <c r="P95" s="19" t="str">
        <f t="shared" si="29"/>
        <v>rokwzgl=11 i lp=103000</v>
      </c>
      <c r="Q95" s="19" t="str">
        <f t="shared" si="29"/>
        <v>rokwzgl=12 i lp=103000</v>
      </c>
      <c r="R95" s="19" t="str">
        <f t="shared" si="29"/>
        <v>rokwzgl=13 i lp=103000</v>
      </c>
      <c r="S95" s="19" t="str">
        <f t="shared" si="29"/>
        <v>rokwzgl=14 i lp=103000</v>
      </c>
      <c r="T95" s="19" t="str">
        <f t="shared" si="29"/>
        <v>rokwzgl=15 i lp=103000</v>
      </c>
      <c r="U95" s="19" t="str">
        <f t="shared" si="29"/>
        <v>rokwzgl=16 i lp=103000</v>
      </c>
      <c r="V95" s="19" t="str">
        <f t="shared" si="29"/>
        <v>rokwzgl=17 i lp=103000</v>
      </c>
      <c r="W95" s="19" t="str">
        <f t="shared" si="29"/>
        <v>rokwzgl=18 i lp=103000</v>
      </c>
      <c r="X95" s="19" t="str">
        <f t="shared" si="33"/>
        <v>rokwzgl=19 i lp=103000</v>
      </c>
      <c r="Y95" s="19" t="str">
        <f t="shared" si="33"/>
        <v>rokwzgl=20 i lp=103000</v>
      </c>
      <c r="Z95" s="19" t="str">
        <f t="shared" si="33"/>
        <v>rokwzgl=21 i lp=103000</v>
      </c>
      <c r="AA95" s="19" t="str">
        <f t="shared" si="33"/>
        <v>rokwzgl=22 i lp=103000</v>
      </c>
      <c r="AB95" s="19" t="str">
        <f t="shared" si="33"/>
        <v>rokwzgl=23 i lp=103000</v>
      </c>
      <c r="AC95" s="19" t="str">
        <f t="shared" si="33"/>
        <v>rokwzgl=24 i lp=103000</v>
      </c>
      <c r="AD95" s="19" t="str">
        <f t="shared" si="33"/>
        <v>rokwzgl=25 i lp=103000</v>
      </c>
      <c r="AE95" s="19" t="str">
        <f t="shared" si="33"/>
        <v>rokwzgl=26 i lp=103000</v>
      </c>
      <c r="AF95" s="19" t="str">
        <f t="shared" si="33"/>
        <v>rokwzgl=27 i lp=103000</v>
      </c>
      <c r="AG95" s="19" t="str">
        <f t="shared" si="33"/>
        <v>rokwzgl=28 i lp=103000</v>
      </c>
      <c r="AH95" s="19" t="str">
        <f t="shared" si="33"/>
        <v>rokwzgl=29 i lp=103000</v>
      </c>
      <c r="AI95" s="19" t="str">
        <f t="shared" si="33"/>
        <v>rokwzgl=30 i lp=103000</v>
      </c>
      <c r="AJ95" s="19" t="str">
        <f t="shared" si="31"/>
        <v>rokwzgl=31 i lp=103000</v>
      </c>
      <c r="AK95" s="19" t="str">
        <f t="shared" si="31"/>
        <v>rokwzgl=32 i lp=103000</v>
      </c>
      <c r="AL95" s="19" t="str">
        <f t="shared" si="31"/>
        <v>rokwzgl=33 i lp=103000</v>
      </c>
      <c r="AM95" s="19" t="str">
        <f t="shared" si="31"/>
        <v>rokwzgl=34 i lp=103000</v>
      </c>
      <c r="AN95" s="19" t="str">
        <f t="shared" si="30"/>
        <v>rokwzgl=35 i lp=103000</v>
      </c>
      <c r="AO95" s="19" t="str">
        <f t="shared" si="30"/>
        <v>rokwzgl=36 i lp=103000</v>
      </c>
      <c r="AP95" s="19" t="str">
        <f t="shared" si="30"/>
        <v>rokwzgl=37 i lp=103000</v>
      </c>
      <c r="AQ95" s="19" t="str">
        <f t="shared" si="30"/>
        <v>rokwzgl=38 i lp=103000</v>
      </c>
      <c r="AR95" s="19" t="str">
        <f t="shared" si="30"/>
        <v>rokwzgl=39 i lp=103000</v>
      </c>
    </row>
    <row r="96" spans="1:44">
      <c r="A96" s="74">
        <v>104000</v>
      </c>
      <c r="B96" s="18" t="s">
        <v>307</v>
      </c>
      <c r="C96" s="19" t="s">
        <v>250</v>
      </c>
      <c r="D96" s="19" t="str">
        <f t="shared" si="26"/>
        <v>rokwzgl=0 i lp=104000</v>
      </c>
      <c r="E96" s="19" t="str">
        <f t="shared" si="26"/>
        <v>rokwzgl=0 i lp=104000</v>
      </c>
      <c r="F96" s="19" t="str">
        <f t="shared" si="26"/>
        <v>rokwzgl=1 i lp=104000</v>
      </c>
      <c r="G96" s="19" t="str">
        <f t="shared" si="26"/>
        <v>rokwzgl=2 i lp=104000</v>
      </c>
      <c r="H96" s="19" t="str">
        <f t="shared" si="26"/>
        <v>rokwzgl=3 i lp=104000</v>
      </c>
      <c r="I96" s="19" t="str">
        <f t="shared" si="26"/>
        <v>rokwzgl=4 i lp=104000</v>
      </c>
      <c r="J96" s="19" t="str">
        <f t="shared" si="26"/>
        <v>rokwzgl=5 i lp=104000</v>
      </c>
      <c r="K96" s="19" t="str">
        <f t="shared" si="26"/>
        <v>rokwzgl=6 i lp=104000</v>
      </c>
      <c r="L96" s="19" t="str">
        <f t="shared" si="26"/>
        <v>rokwzgl=7 i lp=104000</v>
      </c>
      <c r="M96" s="19" t="str">
        <f t="shared" si="26"/>
        <v>rokwzgl=8 i lp=104000</v>
      </c>
      <c r="N96" s="19" t="str">
        <f t="shared" si="29"/>
        <v>rokwzgl=9 i lp=104000</v>
      </c>
      <c r="O96" s="19" t="str">
        <f t="shared" si="29"/>
        <v>rokwzgl=10 i lp=104000</v>
      </c>
      <c r="P96" s="19" t="str">
        <f t="shared" si="29"/>
        <v>rokwzgl=11 i lp=104000</v>
      </c>
      <c r="Q96" s="19" t="str">
        <f t="shared" si="29"/>
        <v>rokwzgl=12 i lp=104000</v>
      </c>
      <c r="R96" s="19" t="str">
        <f t="shared" si="29"/>
        <v>rokwzgl=13 i lp=104000</v>
      </c>
      <c r="S96" s="19" t="str">
        <f t="shared" si="29"/>
        <v>rokwzgl=14 i lp=104000</v>
      </c>
      <c r="T96" s="19" t="str">
        <f t="shared" si="29"/>
        <v>rokwzgl=15 i lp=104000</v>
      </c>
      <c r="U96" s="19" t="str">
        <f t="shared" si="29"/>
        <v>rokwzgl=16 i lp=104000</v>
      </c>
      <c r="V96" s="19" t="str">
        <f t="shared" si="29"/>
        <v>rokwzgl=17 i lp=104000</v>
      </c>
      <c r="W96" s="19" t="str">
        <f t="shared" si="29"/>
        <v>rokwzgl=18 i lp=104000</v>
      </c>
      <c r="X96" s="19" t="str">
        <f t="shared" si="33"/>
        <v>rokwzgl=19 i lp=104000</v>
      </c>
      <c r="Y96" s="19" t="str">
        <f t="shared" si="33"/>
        <v>rokwzgl=20 i lp=104000</v>
      </c>
      <c r="Z96" s="19" t="str">
        <f t="shared" si="33"/>
        <v>rokwzgl=21 i lp=104000</v>
      </c>
      <c r="AA96" s="19" t="str">
        <f t="shared" si="33"/>
        <v>rokwzgl=22 i lp=104000</v>
      </c>
      <c r="AB96" s="19" t="str">
        <f t="shared" si="33"/>
        <v>rokwzgl=23 i lp=104000</v>
      </c>
      <c r="AC96" s="19" t="str">
        <f t="shared" si="33"/>
        <v>rokwzgl=24 i lp=104000</v>
      </c>
      <c r="AD96" s="19" t="str">
        <f t="shared" si="33"/>
        <v>rokwzgl=25 i lp=104000</v>
      </c>
      <c r="AE96" s="19" t="str">
        <f t="shared" si="33"/>
        <v>rokwzgl=26 i lp=104000</v>
      </c>
      <c r="AF96" s="19" t="str">
        <f t="shared" si="33"/>
        <v>rokwzgl=27 i lp=104000</v>
      </c>
      <c r="AG96" s="19" t="str">
        <f t="shared" si="33"/>
        <v>rokwzgl=28 i lp=104000</v>
      </c>
      <c r="AH96" s="19" t="str">
        <f t="shared" si="33"/>
        <v>rokwzgl=29 i lp=104000</v>
      </c>
      <c r="AI96" s="19" t="str">
        <f t="shared" si="33"/>
        <v>rokwzgl=30 i lp=104000</v>
      </c>
      <c r="AJ96" s="19" t="str">
        <f t="shared" si="31"/>
        <v>rokwzgl=31 i lp=104000</v>
      </c>
      <c r="AK96" s="19" t="str">
        <f t="shared" si="31"/>
        <v>rokwzgl=32 i lp=104000</v>
      </c>
      <c r="AL96" s="19" t="str">
        <f t="shared" si="31"/>
        <v>rokwzgl=33 i lp=104000</v>
      </c>
      <c r="AM96" s="19" t="str">
        <f t="shared" si="31"/>
        <v>rokwzgl=34 i lp=104000</v>
      </c>
      <c r="AN96" s="19" t="str">
        <f t="shared" si="30"/>
        <v>rokwzgl=35 i lp=104000</v>
      </c>
      <c r="AO96" s="19" t="str">
        <f t="shared" si="30"/>
        <v>rokwzgl=36 i lp=104000</v>
      </c>
      <c r="AP96" s="19" t="str">
        <f t="shared" si="30"/>
        <v>rokwzgl=37 i lp=104000</v>
      </c>
      <c r="AQ96" s="19" t="str">
        <f t="shared" si="30"/>
        <v>rokwzgl=38 i lp=104000</v>
      </c>
      <c r="AR96" s="19" t="str">
        <f t="shared" si="30"/>
        <v>rokwzgl=39 i lp=104000</v>
      </c>
    </row>
    <row r="97" spans="1:44">
      <c r="A97" s="74">
        <v>105000</v>
      </c>
      <c r="B97" s="18" t="s">
        <v>308</v>
      </c>
      <c r="C97" s="19" t="s">
        <v>251</v>
      </c>
      <c r="D97" s="19" t="str">
        <f t="shared" si="26"/>
        <v>rokwzgl=0 i lp=105000</v>
      </c>
      <c r="E97" s="19" t="str">
        <f t="shared" si="26"/>
        <v>rokwzgl=0 i lp=105000</v>
      </c>
      <c r="F97" s="19" t="str">
        <f t="shared" si="26"/>
        <v>rokwzgl=1 i lp=105000</v>
      </c>
      <c r="G97" s="19" t="str">
        <f t="shared" si="26"/>
        <v>rokwzgl=2 i lp=105000</v>
      </c>
      <c r="H97" s="19" t="str">
        <f t="shared" si="26"/>
        <v>rokwzgl=3 i lp=105000</v>
      </c>
      <c r="I97" s="19" t="str">
        <f t="shared" si="26"/>
        <v>rokwzgl=4 i lp=105000</v>
      </c>
      <c r="J97" s="19" t="str">
        <f t="shared" si="26"/>
        <v>rokwzgl=5 i lp=105000</v>
      </c>
      <c r="K97" s="19" t="str">
        <f t="shared" si="26"/>
        <v>rokwzgl=6 i lp=105000</v>
      </c>
      <c r="L97" s="19" t="str">
        <f t="shared" si="26"/>
        <v>rokwzgl=7 i lp=105000</v>
      </c>
      <c r="M97" s="19" t="str">
        <f t="shared" si="26"/>
        <v>rokwzgl=8 i lp=105000</v>
      </c>
      <c r="N97" s="19" t="str">
        <f t="shared" si="29"/>
        <v>rokwzgl=9 i lp=105000</v>
      </c>
      <c r="O97" s="19" t="str">
        <f t="shared" si="29"/>
        <v>rokwzgl=10 i lp=105000</v>
      </c>
      <c r="P97" s="19" t="str">
        <f t="shared" si="29"/>
        <v>rokwzgl=11 i lp=105000</v>
      </c>
      <c r="Q97" s="19" t="str">
        <f t="shared" si="29"/>
        <v>rokwzgl=12 i lp=105000</v>
      </c>
      <c r="R97" s="19" t="str">
        <f t="shared" si="29"/>
        <v>rokwzgl=13 i lp=105000</v>
      </c>
      <c r="S97" s="19" t="str">
        <f t="shared" si="29"/>
        <v>rokwzgl=14 i lp=105000</v>
      </c>
      <c r="T97" s="19" t="str">
        <f t="shared" si="29"/>
        <v>rokwzgl=15 i lp=105000</v>
      </c>
      <c r="U97" s="19" t="str">
        <f t="shared" si="29"/>
        <v>rokwzgl=16 i lp=105000</v>
      </c>
      <c r="V97" s="19" t="str">
        <f t="shared" si="29"/>
        <v>rokwzgl=17 i lp=105000</v>
      </c>
      <c r="W97" s="19" t="str">
        <f t="shared" si="29"/>
        <v>rokwzgl=18 i lp=105000</v>
      </c>
      <c r="X97" s="19" t="str">
        <f t="shared" si="33"/>
        <v>rokwzgl=19 i lp=105000</v>
      </c>
      <c r="Y97" s="19" t="str">
        <f t="shared" si="33"/>
        <v>rokwzgl=20 i lp=105000</v>
      </c>
      <c r="Z97" s="19" t="str">
        <f t="shared" si="33"/>
        <v>rokwzgl=21 i lp=105000</v>
      </c>
      <c r="AA97" s="19" t="str">
        <f t="shared" si="33"/>
        <v>rokwzgl=22 i lp=105000</v>
      </c>
      <c r="AB97" s="19" t="str">
        <f t="shared" si="33"/>
        <v>rokwzgl=23 i lp=105000</v>
      </c>
      <c r="AC97" s="19" t="str">
        <f t="shared" si="33"/>
        <v>rokwzgl=24 i lp=105000</v>
      </c>
      <c r="AD97" s="19" t="str">
        <f t="shared" si="33"/>
        <v>rokwzgl=25 i lp=105000</v>
      </c>
      <c r="AE97" s="19" t="str">
        <f t="shared" si="33"/>
        <v>rokwzgl=26 i lp=105000</v>
      </c>
      <c r="AF97" s="19" t="str">
        <f t="shared" si="33"/>
        <v>rokwzgl=27 i lp=105000</v>
      </c>
      <c r="AG97" s="19" t="str">
        <f t="shared" si="33"/>
        <v>rokwzgl=28 i lp=105000</v>
      </c>
      <c r="AH97" s="19" t="str">
        <f t="shared" si="33"/>
        <v>rokwzgl=29 i lp=105000</v>
      </c>
      <c r="AI97" s="19" t="str">
        <f t="shared" si="33"/>
        <v>rokwzgl=30 i lp=105000</v>
      </c>
      <c r="AJ97" s="19" t="str">
        <f t="shared" si="31"/>
        <v>rokwzgl=31 i lp=105000</v>
      </c>
      <c r="AK97" s="19" t="str">
        <f t="shared" si="31"/>
        <v>rokwzgl=32 i lp=105000</v>
      </c>
      <c r="AL97" s="19" t="str">
        <f t="shared" si="31"/>
        <v>rokwzgl=33 i lp=105000</v>
      </c>
      <c r="AM97" s="19" t="str">
        <f t="shared" si="31"/>
        <v>rokwzgl=34 i lp=105000</v>
      </c>
      <c r="AN97" s="19" t="str">
        <f t="shared" si="30"/>
        <v>rokwzgl=35 i lp=105000</v>
      </c>
      <c r="AO97" s="19" t="str">
        <f t="shared" si="30"/>
        <v>rokwzgl=36 i lp=105000</v>
      </c>
      <c r="AP97" s="19" t="str">
        <f t="shared" si="30"/>
        <v>rokwzgl=37 i lp=105000</v>
      </c>
      <c r="AQ97" s="19" t="str">
        <f t="shared" si="30"/>
        <v>rokwzgl=38 i lp=105000</v>
      </c>
      <c r="AR97" s="19" t="str">
        <f t="shared" si="30"/>
        <v>rokwzgl=39 i lp=105000</v>
      </c>
    </row>
    <row r="98" spans="1:44">
      <c r="A98" s="74">
        <v>106000</v>
      </c>
      <c r="B98" s="18" t="s">
        <v>309</v>
      </c>
      <c r="C98" s="19" t="s">
        <v>252</v>
      </c>
      <c r="D98" s="19" t="str">
        <f t="shared" si="26"/>
        <v>rokwzgl=0 i lp=106000</v>
      </c>
      <c r="E98" s="19" t="str">
        <f t="shared" si="26"/>
        <v>rokwzgl=0 i lp=106000</v>
      </c>
      <c r="F98" s="19" t="str">
        <f t="shared" si="26"/>
        <v>rokwzgl=1 i lp=106000</v>
      </c>
      <c r="G98" s="19" t="str">
        <f t="shared" si="26"/>
        <v>rokwzgl=2 i lp=106000</v>
      </c>
      <c r="H98" s="19" t="str">
        <f t="shared" si="26"/>
        <v>rokwzgl=3 i lp=106000</v>
      </c>
      <c r="I98" s="19" t="str">
        <f t="shared" si="26"/>
        <v>rokwzgl=4 i lp=106000</v>
      </c>
      <c r="J98" s="19" t="str">
        <f t="shared" si="26"/>
        <v>rokwzgl=5 i lp=106000</v>
      </c>
      <c r="K98" s="19" t="str">
        <f t="shared" si="26"/>
        <v>rokwzgl=6 i lp=106000</v>
      </c>
      <c r="L98" s="19" t="str">
        <f t="shared" si="26"/>
        <v>rokwzgl=7 i lp=106000</v>
      </c>
      <c r="M98" s="19" t="str">
        <f t="shared" si="26"/>
        <v>rokwzgl=8 i lp=106000</v>
      </c>
      <c r="N98" s="19" t="str">
        <f t="shared" si="29"/>
        <v>rokwzgl=9 i lp=106000</v>
      </c>
      <c r="O98" s="19" t="str">
        <f t="shared" si="29"/>
        <v>rokwzgl=10 i lp=106000</v>
      </c>
      <c r="P98" s="19" t="str">
        <f t="shared" si="29"/>
        <v>rokwzgl=11 i lp=106000</v>
      </c>
      <c r="Q98" s="19" t="str">
        <f t="shared" si="29"/>
        <v>rokwzgl=12 i lp=106000</v>
      </c>
      <c r="R98" s="19" t="str">
        <f t="shared" si="29"/>
        <v>rokwzgl=13 i lp=106000</v>
      </c>
      <c r="S98" s="19" t="str">
        <f t="shared" si="29"/>
        <v>rokwzgl=14 i lp=106000</v>
      </c>
      <c r="T98" s="19" t="str">
        <f t="shared" si="29"/>
        <v>rokwzgl=15 i lp=106000</v>
      </c>
      <c r="U98" s="19" t="str">
        <f t="shared" si="29"/>
        <v>rokwzgl=16 i lp=106000</v>
      </c>
      <c r="V98" s="19" t="str">
        <f t="shared" si="29"/>
        <v>rokwzgl=17 i lp=106000</v>
      </c>
      <c r="W98" s="19" t="str">
        <f t="shared" si="29"/>
        <v>rokwzgl=18 i lp=106000</v>
      </c>
      <c r="X98" s="19" t="str">
        <f t="shared" si="33"/>
        <v>rokwzgl=19 i lp=106000</v>
      </c>
      <c r="Y98" s="19" t="str">
        <f t="shared" si="33"/>
        <v>rokwzgl=20 i lp=106000</v>
      </c>
      <c r="Z98" s="19" t="str">
        <f t="shared" si="33"/>
        <v>rokwzgl=21 i lp=106000</v>
      </c>
      <c r="AA98" s="19" t="str">
        <f t="shared" si="33"/>
        <v>rokwzgl=22 i lp=106000</v>
      </c>
      <c r="AB98" s="19" t="str">
        <f t="shared" si="33"/>
        <v>rokwzgl=23 i lp=106000</v>
      </c>
      <c r="AC98" s="19" t="str">
        <f t="shared" si="33"/>
        <v>rokwzgl=24 i lp=106000</v>
      </c>
      <c r="AD98" s="19" t="str">
        <f t="shared" si="33"/>
        <v>rokwzgl=25 i lp=106000</v>
      </c>
      <c r="AE98" s="19" t="str">
        <f t="shared" si="33"/>
        <v>rokwzgl=26 i lp=106000</v>
      </c>
      <c r="AF98" s="19" t="str">
        <f t="shared" si="33"/>
        <v>rokwzgl=27 i lp=106000</v>
      </c>
      <c r="AG98" s="19" t="str">
        <f t="shared" si="33"/>
        <v>rokwzgl=28 i lp=106000</v>
      </c>
      <c r="AH98" s="19" t="str">
        <f t="shared" si="33"/>
        <v>rokwzgl=29 i lp=106000</v>
      </c>
      <c r="AI98" s="19" t="str">
        <f t="shared" si="33"/>
        <v>rokwzgl=30 i lp=106000</v>
      </c>
      <c r="AJ98" s="19" t="str">
        <f t="shared" si="31"/>
        <v>rokwzgl=31 i lp=106000</v>
      </c>
      <c r="AK98" s="19" t="str">
        <f t="shared" si="31"/>
        <v>rokwzgl=32 i lp=106000</v>
      </c>
      <c r="AL98" s="19" t="str">
        <f t="shared" si="31"/>
        <v>rokwzgl=33 i lp=106000</v>
      </c>
      <c r="AM98" s="19" t="str">
        <f t="shared" si="31"/>
        <v>rokwzgl=34 i lp=106000</v>
      </c>
      <c r="AN98" s="19" t="str">
        <f t="shared" si="30"/>
        <v>rokwzgl=35 i lp=106000</v>
      </c>
      <c r="AO98" s="19" t="str">
        <f t="shared" si="30"/>
        <v>rokwzgl=36 i lp=106000</v>
      </c>
      <c r="AP98" s="19" t="str">
        <f t="shared" si="30"/>
        <v>rokwzgl=37 i lp=106000</v>
      </c>
      <c r="AQ98" s="19" t="str">
        <f t="shared" si="30"/>
        <v>rokwzgl=38 i lp=106000</v>
      </c>
      <c r="AR98" s="19" t="str">
        <f t="shared" si="30"/>
        <v>rokwzgl=39 i lp=106000</v>
      </c>
    </row>
    <row r="99" spans="1:44">
      <c r="A99" s="74">
        <v>107000</v>
      </c>
      <c r="B99" s="18" t="s">
        <v>310</v>
      </c>
      <c r="C99" s="19" t="s">
        <v>253</v>
      </c>
      <c r="D99" s="19" t="str">
        <f t="shared" si="26"/>
        <v>rokwzgl=0 i lp=107000</v>
      </c>
      <c r="E99" s="19" t="str">
        <f t="shared" si="26"/>
        <v>rokwzgl=0 i lp=107000</v>
      </c>
      <c r="F99" s="19" t="str">
        <f t="shared" si="26"/>
        <v>rokwzgl=1 i lp=107000</v>
      </c>
      <c r="G99" s="19" t="str">
        <f t="shared" si="26"/>
        <v>rokwzgl=2 i lp=107000</v>
      </c>
      <c r="H99" s="19" t="str">
        <f t="shared" si="26"/>
        <v>rokwzgl=3 i lp=107000</v>
      </c>
      <c r="I99" s="19" t="str">
        <f t="shared" si="26"/>
        <v>rokwzgl=4 i lp=107000</v>
      </c>
      <c r="J99" s="19" t="str">
        <f t="shared" si="26"/>
        <v>rokwzgl=5 i lp=107000</v>
      </c>
      <c r="K99" s="19" t="str">
        <f t="shared" si="26"/>
        <v>rokwzgl=6 i lp=107000</v>
      </c>
      <c r="L99" s="19" t="str">
        <f t="shared" si="26"/>
        <v>rokwzgl=7 i lp=107000</v>
      </c>
      <c r="M99" s="19" t="str">
        <f t="shared" si="26"/>
        <v>rokwzgl=8 i lp=107000</v>
      </c>
      <c r="N99" s="19" t="str">
        <f t="shared" si="29"/>
        <v>rokwzgl=9 i lp=107000</v>
      </c>
      <c r="O99" s="19" t="str">
        <f t="shared" si="29"/>
        <v>rokwzgl=10 i lp=107000</v>
      </c>
      <c r="P99" s="19" t="str">
        <f t="shared" si="29"/>
        <v>rokwzgl=11 i lp=107000</v>
      </c>
      <c r="Q99" s="19" t="str">
        <f t="shared" si="29"/>
        <v>rokwzgl=12 i lp=107000</v>
      </c>
      <c r="R99" s="19" t="str">
        <f t="shared" si="29"/>
        <v>rokwzgl=13 i lp=107000</v>
      </c>
      <c r="S99" s="19" t="str">
        <f t="shared" si="29"/>
        <v>rokwzgl=14 i lp=107000</v>
      </c>
      <c r="T99" s="19" t="str">
        <f t="shared" si="29"/>
        <v>rokwzgl=15 i lp=107000</v>
      </c>
      <c r="U99" s="19" t="str">
        <f t="shared" si="29"/>
        <v>rokwzgl=16 i lp=107000</v>
      </c>
      <c r="V99" s="19" t="str">
        <f t="shared" si="29"/>
        <v>rokwzgl=17 i lp=107000</v>
      </c>
      <c r="W99" s="19" t="str">
        <f t="shared" si="29"/>
        <v>rokwzgl=18 i lp=107000</v>
      </c>
      <c r="X99" s="19" t="str">
        <f t="shared" ref="X99:AD99" si="34">+"rokwzgl="&amp;X$9&amp;" i lp="&amp;$A99</f>
        <v>rokwzgl=19 i lp=107000</v>
      </c>
      <c r="Y99" s="19" t="str">
        <f t="shared" si="34"/>
        <v>rokwzgl=20 i lp=107000</v>
      </c>
      <c r="Z99" s="19" t="str">
        <f t="shared" si="34"/>
        <v>rokwzgl=21 i lp=107000</v>
      </c>
      <c r="AA99" s="19" t="str">
        <f t="shared" si="34"/>
        <v>rokwzgl=22 i lp=107000</v>
      </c>
      <c r="AB99" s="19" t="str">
        <f t="shared" si="34"/>
        <v>rokwzgl=23 i lp=107000</v>
      </c>
      <c r="AC99" s="19" t="str">
        <f t="shared" si="34"/>
        <v>rokwzgl=24 i lp=107000</v>
      </c>
      <c r="AD99" s="19" t="str">
        <f t="shared" si="34"/>
        <v>rokwzgl=25 i lp=107000</v>
      </c>
      <c r="AE99" s="19" t="str">
        <f t="shared" ref="X99:AM115" si="35">+"rokwzgl="&amp;AE$9&amp;" i lp="&amp;$A99</f>
        <v>rokwzgl=26 i lp=107000</v>
      </c>
      <c r="AF99" s="19" t="str">
        <f t="shared" si="35"/>
        <v>rokwzgl=27 i lp=107000</v>
      </c>
      <c r="AG99" s="19" t="str">
        <f t="shared" si="35"/>
        <v>rokwzgl=28 i lp=107000</v>
      </c>
      <c r="AH99" s="19" t="str">
        <f t="shared" si="35"/>
        <v>rokwzgl=29 i lp=107000</v>
      </c>
      <c r="AI99" s="19" t="str">
        <f t="shared" si="35"/>
        <v>rokwzgl=30 i lp=107000</v>
      </c>
      <c r="AJ99" s="19" t="str">
        <f t="shared" si="35"/>
        <v>rokwzgl=31 i lp=107000</v>
      </c>
      <c r="AK99" s="19" t="str">
        <f t="shared" si="35"/>
        <v>rokwzgl=32 i lp=107000</v>
      </c>
      <c r="AL99" s="19" t="str">
        <f t="shared" si="35"/>
        <v>rokwzgl=33 i lp=107000</v>
      </c>
      <c r="AM99" s="19" t="str">
        <f t="shared" si="35"/>
        <v>rokwzgl=34 i lp=107000</v>
      </c>
      <c r="AN99" s="19" t="str">
        <f t="shared" si="30"/>
        <v>rokwzgl=35 i lp=107000</v>
      </c>
      <c r="AO99" s="19" t="str">
        <f t="shared" si="30"/>
        <v>rokwzgl=36 i lp=107000</v>
      </c>
      <c r="AP99" s="19" t="str">
        <f t="shared" si="30"/>
        <v>rokwzgl=37 i lp=107000</v>
      </c>
      <c r="AQ99" s="19" t="str">
        <f t="shared" si="30"/>
        <v>rokwzgl=38 i lp=107000</v>
      </c>
      <c r="AR99" s="19" t="str">
        <f t="shared" si="30"/>
        <v>rokwzgl=39 i lp=107000</v>
      </c>
    </row>
    <row r="100" spans="1:44">
      <c r="A100" s="74">
        <v>107100</v>
      </c>
      <c r="B100" s="18" t="s">
        <v>293</v>
      </c>
      <c r="C100" s="19" t="s">
        <v>254</v>
      </c>
      <c r="D100" s="19" t="str">
        <f t="shared" si="26"/>
        <v>rokwzgl=0 i lp=107100</v>
      </c>
      <c r="E100" s="19" t="str">
        <f t="shared" si="26"/>
        <v>rokwzgl=0 i lp=107100</v>
      </c>
      <c r="F100" s="19" t="str">
        <f t="shared" si="26"/>
        <v>rokwzgl=1 i lp=107100</v>
      </c>
      <c r="G100" s="19" t="str">
        <f t="shared" si="26"/>
        <v>rokwzgl=2 i lp=107100</v>
      </c>
      <c r="H100" s="19" t="str">
        <f t="shared" si="26"/>
        <v>rokwzgl=3 i lp=107100</v>
      </c>
      <c r="I100" s="19" t="str">
        <f t="shared" si="26"/>
        <v>rokwzgl=4 i lp=107100</v>
      </c>
      <c r="J100" s="19" t="str">
        <f t="shared" si="26"/>
        <v>rokwzgl=5 i lp=107100</v>
      </c>
      <c r="K100" s="19" t="str">
        <f t="shared" si="26"/>
        <v>rokwzgl=6 i lp=107100</v>
      </c>
      <c r="L100" s="19" t="str">
        <f t="shared" si="26"/>
        <v>rokwzgl=7 i lp=107100</v>
      </c>
      <c r="M100" s="19" t="str">
        <f t="shared" si="26"/>
        <v>rokwzgl=8 i lp=107100</v>
      </c>
      <c r="N100" s="19" t="str">
        <f t="shared" si="29"/>
        <v>rokwzgl=9 i lp=107100</v>
      </c>
      <c r="O100" s="19" t="str">
        <f t="shared" si="29"/>
        <v>rokwzgl=10 i lp=107100</v>
      </c>
      <c r="P100" s="19" t="str">
        <f t="shared" si="29"/>
        <v>rokwzgl=11 i lp=107100</v>
      </c>
      <c r="Q100" s="19" t="str">
        <f t="shared" si="29"/>
        <v>rokwzgl=12 i lp=107100</v>
      </c>
      <c r="R100" s="19" t="str">
        <f t="shared" si="29"/>
        <v>rokwzgl=13 i lp=107100</v>
      </c>
      <c r="S100" s="19" t="str">
        <f t="shared" si="29"/>
        <v>rokwzgl=14 i lp=107100</v>
      </c>
      <c r="T100" s="19" t="str">
        <f t="shared" si="29"/>
        <v>rokwzgl=15 i lp=107100</v>
      </c>
      <c r="U100" s="19" t="str">
        <f t="shared" si="29"/>
        <v>rokwzgl=16 i lp=107100</v>
      </c>
      <c r="V100" s="19" t="str">
        <f t="shared" si="29"/>
        <v>rokwzgl=17 i lp=107100</v>
      </c>
      <c r="W100" s="19" t="str">
        <f t="shared" si="29"/>
        <v>rokwzgl=18 i lp=107100</v>
      </c>
      <c r="X100" s="19" t="str">
        <f t="shared" si="35"/>
        <v>rokwzgl=19 i lp=107100</v>
      </c>
      <c r="Y100" s="19" t="str">
        <f t="shared" si="35"/>
        <v>rokwzgl=20 i lp=107100</v>
      </c>
      <c r="Z100" s="19" t="str">
        <f t="shared" si="35"/>
        <v>rokwzgl=21 i lp=107100</v>
      </c>
      <c r="AA100" s="19" t="str">
        <f t="shared" si="35"/>
        <v>rokwzgl=22 i lp=107100</v>
      </c>
      <c r="AB100" s="19" t="str">
        <f t="shared" si="35"/>
        <v>rokwzgl=23 i lp=107100</v>
      </c>
      <c r="AC100" s="19" t="str">
        <f t="shared" si="35"/>
        <v>rokwzgl=24 i lp=107100</v>
      </c>
      <c r="AD100" s="19" t="str">
        <f t="shared" si="35"/>
        <v>rokwzgl=25 i lp=107100</v>
      </c>
      <c r="AE100" s="19" t="str">
        <f t="shared" si="35"/>
        <v>rokwzgl=26 i lp=107100</v>
      </c>
      <c r="AF100" s="19" t="str">
        <f t="shared" si="35"/>
        <v>rokwzgl=27 i lp=107100</v>
      </c>
      <c r="AG100" s="19" t="str">
        <f t="shared" si="35"/>
        <v>rokwzgl=28 i lp=107100</v>
      </c>
      <c r="AH100" s="19" t="str">
        <f t="shared" si="35"/>
        <v>rokwzgl=29 i lp=107100</v>
      </c>
      <c r="AI100" s="19" t="str">
        <f t="shared" si="35"/>
        <v>rokwzgl=30 i lp=107100</v>
      </c>
      <c r="AJ100" s="19" t="str">
        <f t="shared" si="35"/>
        <v>rokwzgl=31 i lp=107100</v>
      </c>
      <c r="AK100" s="19" t="str">
        <f t="shared" si="35"/>
        <v>rokwzgl=32 i lp=107100</v>
      </c>
      <c r="AL100" s="19" t="str">
        <f t="shared" si="35"/>
        <v>rokwzgl=33 i lp=107100</v>
      </c>
      <c r="AM100" s="19" t="str">
        <f t="shared" si="35"/>
        <v>rokwzgl=34 i lp=107100</v>
      </c>
      <c r="AN100" s="19" t="str">
        <f t="shared" si="30"/>
        <v>rokwzgl=35 i lp=107100</v>
      </c>
      <c r="AO100" s="19" t="str">
        <f t="shared" si="30"/>
        <v>rokwzgl=36 i lp=107100</v>
      </c>
      <c r="AP100" s="19" t="str">
        <f t="shared" si="30"/>
        <v>rokwzgl=37 i lp=107100</v>
      </c>
      <c r="AQ100" s="19" t="str">
        <f t="shared" si="30"/>
        <v>rokwzgl=38 i lp=107100</v>
      </c>
      <c r="AR100" s="19" t="str">
        <f t="shared" si="30"/>
        <v>rokwzgl=39 i lp=107100</v>
      </c>
    </row>
    <row r="101" spans="1:44">
      <c r="A101" s="74">
        <v>107200</v>
      </c>
      <c r="B101" s="18" t="s">
        <v>294</v>
      </c>
      <c r="C101" s="19" t="s">
        <v>255</v>
      </c>
      <c r="D101" s="19" t="str">
        <f t="shared" si="26"/>
        <v>rokwzgl=0 i lp=107200</v>
      </c>
      <c r="E101" s="19" t="str">
        <f t="shared" si="26"/>
        <v>rokwzgl=0 i lp=107200</v>
      </c>
      <c r="F101" s="19" t="str">
        <f t="shared" si="26"/>
        <v>rokwzgl=1 i lp=107200</v>
      </c>
      <c r="G101" s="19" t="str">
        <f t="shared" si="26"/>
        <v>rokwzgl=2 i lp=107200</v>
      </c>
      <c r="H101" s="19" t="str">
        <f t="shared" si="26"/>
        <v>rokwzgl=3 i lp=107200</v>
      </c>
      <c r="I101" s="19" t="str">
        <f t="shared" si="26"/>
        <v>rokwzgl=4 i lp=107200</v>
      </c>
      <c r="J101" s="19" t="str">
        <f t="shared" si="26"/>
        <v>rokwzgl=5 i lp=107200</v>
      </c>
      <c r="K101" s="19" t="str">
        <f t="shared" si="26"/>
        <v>rokwzgl=6 i lp=107200</v>
      </c>
      <c r="L101" s="19" t="str">
        <f t="shared" si="26"/>
        <v>rokwzgl=7 i lp=107200</v>
      </c>
      <c r="M101" s="19" t="str">
        <f t="shared" ref="D101:M116" si="36">+"rokwzgl="&amp;M$9&amp;" i lp="&amp;$A101</f>
        <v>rokwzgl=8 i lp=107200</v>
      </c>
      <c r="N101" s="19" t="str">
        <f t="shared" si="29"/>
        <v>rokwzgl=9 i lp=107200</v>
      </c>
      <c r="O101" s="19" t="str">
        <f t="shared" si="29"/>
        <v>rokwzgl=10 i lp=107200</v>
      </c>
      <c r="P101" s="19" t="str">
        <f t="shared" si="29"/>
        <v>rokwzgl=11 i lp=107200</v>
      </c>
      <c r="Q101" s="19" t="str">
        <f t="shared" si="29"/>
        <v>rokwzgl=12 i lp=107200</v>
      </c>
      <c r="R101" s="19" t="str">
        <f t="shared" si="29"/>
        <v>rokwzgl=13 i lp=107200</v>
      </c>
      <c r="S101" s="19" t="str">
        <f t="shared" si="29"/>
        <v>rokwzgl=14 i lp=107200</v>
      </c>
      <c r="T101" s="19" t="str">
        <f t="shared" si="29"/>
        <v>rokwzgl=15 i lp=107200</v>
      </c>
      <c r="U101" s="19" t="str">
        <f t="shared" si="29"/>
        <v>rokwzgl=16 i lp=107200</v>
      </c>
      <c r="V101" s="19" t="str">
        <f t="shared" si="29"/>
        <v>rokwzgl=17 i lp=107200</v>
      </c>
      <c r="W101" s="19" t="str">
        <f t="shared" si="29"/>
        <v>rokwzgl=18 i lp=107200</v>
      </c>
      <c r="X101" s="19" t="str">
        <f t="shared" si="35"/>
        <v>rokwzgl=19 i lp=107200</v>
      </c>
      <c r="Y101" s="19" t="str">
        <f t="shared" si="35"/>
        <v>rokwzgl=20 i lp=107200</v>
      </c>
      <c r="Z101" s="19" t="str">
        <f t="shared" si="35"/>
        <v>rokwzgl=21 i lp=107200</v>
      </c>
      <c r="AA101" s="19" t="str">
        <f t="shared" si="35"/>
        <v>rokwzgl=22 i lp=107200</v>
      </c>
      <c r="AB101" s="19" t="str">
        <f t="shared" si="35"/>
        <v>rokwzgl=23 i lp=107200</v>
      </c>
      <c r="AC101" s="19" t="str">
        <f t="shared" si="35"/>
        <v>rokwzgl=24 i lp=107200</v>
      </c>
      <c r="AD101" s="19" t="str">
        <f t="shared" si="35"/>
        <v>rokwzgl=25 i lp=107200</v>
      </c>
      <c r="AE101" s="19" t="str">
        <f t="shared" si="35"/>
        <v>rokwzgl=26 i lp=107200</v>
      </c>
      <c r="AF101" s="19" t="str">
        <f t="shared" si="35"/>
        <v>rokwzgl=27 i lp=107200</v>
      </c>
      <c r="AG101" s="19" t="str">
        <f t="shared" si="35"/>
        <v>rokwzgl=28 i lp=107200</v>
      </c>
      <c r="AH101" s="19" t="str">
        <f t="shared" si="35"/>
        <v>rokwzgl=29 i lp=107200</v>
      </c>
      <c r="AI101" s="19" t="str">
        <f t="shared" si="35"/>
        <v>rokwzgl=30 i lp=107200</v>
      </c>
      <c r="AJ101" s="19" t="str">
        <f t="shared" si="35"/>
        <v>rokwzgl=31 i lp=107200</v>
      </c>
      <c r="AK101" s="19" t="str">
        <f t="shared" si="35"/>
        <v>rokwzgl=32 i lp=107200</v>
      </c>
      <c r="AL101" s="19" t="str">
        <f t="shared" si="35"/>
        <v>rokwzgl=33 i lp=107200</v>
      </c>
      <c r="AM101" s="19" t="str">
        <f t="shared" si="35"/>
        <v>rokwzgl=34 i lp=107200</v>
      </c>
      <c r="AN101" s="19" t="str">
        <f t="shared" si="30"/>
        <v>rokwzgl=35 i lp=107200</v>
      </c>
      <c r="AO101" s="19" t="str">
        <f t="shared" si="30"/>
        <v>rokwzgl=36 i lp=107200</v>
      </c>
      <c r="AP101" s="19" t="str">
        <f t="shared" si="30"/>
        <v>rokwzgl=37 i lp=107200</v>
      </c>
      <c r="AQ101" s="19" t="str">
        <f t="shared" si="30"/>
        <v>rokwzgl=38 i lp=107200</v>
      </c>
      <c r="AR101" s="19" t="str">
        <f t="shared" si="30"/>
        <v>rokwzgl=39 i lp=107200</v>
      </c>
    </row>
    <row r="102" spans="1:44">
      <c r="A102" s="74">
        <v>107210</v>
      </c>
      <c r="B102" s="18" t="s">
        <v>295</v>
      </c>
      <c r="C102" s="19" t="s">
        <v>256</v>
      </c>
      <c r="D102" s="19" t="str">
        <f t="shared" si="36"/>
        <v>rokwzgl=0 i lp=107210</v>
      </c>
      <c r="E102" s="19" t="str">
        <f t="shared" si="36"/>
        <v>rokwzgl=0 i lp=107210</v>
      </c>
      <c r="F102" s="19" t="str">
        <f t="shared" si="36"/>
        <v>rokwzgl=1 i lp=107210</v>
      </c>
      <c r="G102" s="19" t="str">
        <f t="shared" si="36"/>
        <v>rokwzgl=2 i lp=107210</v>
      </c>
      <c r="H102" s="19" t="str">
        <f t="shared" si="36"/>
        <v>rokwzgl=3 i lp=107210</v>
      </c>
      <c r="I102" s="19" t="str">
        <f t="shared" si="36"/>
        <v>rokwzgl=4 i lp=107210</v>
      </c>
      <c r="J102" s="19" t="str">
        <f t="shared" si="36"/>
        <v>rokwzgl=5 i lp=107210</v>
      </c>
      <c r="K102" s="19" t="str">
        <f t="shared" si="36"/>
        <v>rokwzgl=6 i lp=107210</v>
      </c>
      <c r="L102" s="19" t="str">
        <f t="shared" si="36"/>
        <v>rokwzgl=7 i lp=107210</v>
      </c>
      <c r="M102" s="19" t="str">
        <f t="shared" si="36"/>
        <v>rokwzgl=8 i lp=107210</v>
      </c>
      <c r="N102" s="19" t="str">
        <f t="shared" si="29"/>
        <v>rokwzgl=9 i lp=107210</v>
      </c>
      <c r="O102" s="19" t="str">
        <f t="shared" si="29"/>
        <v>rokwzgl=10 i lp=107210</v>
      </c>
      <c r="P102" s="19" t="str">
        <f t="shared" si="29"/>
        <v>rokwzgl=11 i lp=107210</v>
      </c>
      <c r="Q102" s="19" t="str">
        <f t="shared" si="29"/>
        <v>rokwzgl=12 i lp=107210</v>
      </c>
      <c r="R102" s="19" t="str">
        <f t="shared" si="29"/>
        <v>rokwzgl=13 i lp=107210</v>
      </c>
      <c r="S102" s="19" t="str">
        <f t="shared" si="29"/>
        <v>rokwzgl=14 i lp=107210</v>
      </c>
      <c r="T102" s="19" t="str">
        <f t="shared" si="29"/>
        <v>rokwzgl=15 i lp=107210</v>
      </c>
      <c r="U102" s="19" t="str">
        <f t="shared" si="29"/>
        <v>rokwzgl=16 i lp=107210</v>
      </c>
      <c r="V102" s="19" t="str">
        <f t="shared" si="29"/>
        <v>rokwzgl=17 i lp=107210</v>
      </c>
      <c r="W102" s="19" t="str">
        <f t="shared" si="29"/>
        <v>rokwzgl=18 i lp=107210</v>
      </c>
      <c r="X102" s="19" t="str">
        <f t="shared" si="35"/>
        <v>rokwzgl=19 i lp=107210</v>
      </c>
      <c r="Y102" s="19" t="str">
        <f t="shared" si="35"/>
        <v>rokwzgl=20 i lp=107210</v>
      </c>
      <c r="Z102" s="19" t="str">
        <f t="shared" si="35"/>
        <v>rokwzgl=21 i lp=107210</v>
      </c>
      <c r="AA102" s="19" t="str">
        <f t="shared" si="35"/>
        <v>rokwzgl=22 i lp=107210</v>
      </c>
      <c r="AB102" s="19" t="str">
        <f t="shared" si="35"/>
        <v>rokwzgl=23 i lp=107210</v>
      </c>
      <c r="AC102" s="19" t="str">
        <f t="shared" si="35"/>
        <v>rokwzgl=24 i lp=107210</v>
      </c>
      <c r="AD102" s="19" t="str">
        <f t="shared" si="35"/>
        <v>rokwzgl=25 i lp=107210</v>
      </c>
      <c r="AE102" s="19" t="str">
        <f t="shared" si="35"/>
        <v>rokwzgl=26 i lp=107210</v>
      </c>
      <c r="AF102" s="19" t="str">
        <f t="shared" si="35"/>
        <v>rokwzgl=27 i lp=107210</v>
      </c>
      <c r="AG102" s="19" t="str">
        <f t="shared" si="35"/>
        <v>rokwzgl=28 i lp=107210</v>
      </c>
      <c r="AH102" s="19" t="str">
        <f t="shared" si="35"/>
        <v>rokwzgl=29 i lp=107210</v>
      </c>
      <c r="AI102" s="19" t="str">
        <f t="shared" si="35"/>
        <v>rokwzgl=30 i lp=107210</v>
      </c>
      <c r="AJ102" s="19" t="str">
        <f t="shared" si="35"/>
        <v>rokwzgl=31 i lp=107210</v>
      </c>
      <c r="AK102" s="19" t="str">
        <f t="shared" si="35"/>
        <v>rokwzgl=32 i lp=107210</v>
      </c>
      <c r="AL102" s="19" t="str">
        <f t="shared" si="35"/>
        <v>rokwzgl=33 i lp=107210</v>
      </c>
      <c r="AM102" s="19" t="str">
        <f t="shared" si="35"/>
        <v>rokwzgl=34 i lp=107210</v>
      </c>
      <c r="AN102" s="19" t="str">
        <f t="shared" si="30"/>
        <v>rokwzgl=35 i lp=107210</v>
      </c>
      <c r="AO102" s="19" t="str">
        <f t="shared" si="30"/>
        <v>rokwzgl=36 i lp=107210</v>
      </c>
      <c r="AP102" s="19" t="str">
        <f t="shared" si="30"/>
        <v>rokwzgl=37 i lp=107210</v>
      </c>
      <c r="AQ102" s="19" t="str">
        <f t="shared" si="30"/>
        <v>rokwzgl=38 i lp=107210</v>
      </c>
      <c r="AR102" s="19" t="str">
        <f t="shared" si="30"/>
        <v>rokwzgl=39 i lp=107210</v>
      </c>
    </row>
    <row r="103" spans="1:44">
      <c r="A103" s="74">
        <v>107211</v>
      </c>
      <c r="B103" s="18" t="s">
        <v>296</v>
      </c>
      <c r="C103" s="19" t="s">
        <v>257</v>
      </c>
      <c r="D103" s="19" t="str">
        <f t="shared" si="36"/>
        <v>rokwzgl=0 i lp=107211</v>
      </c>
      <c r="E103" s="19" t="str">
        <f t="shared" si="36"/>
        <v>rokwzgl=0 i lp=107211</v>
      </c>
      <c r="F103" s="19" t="str">
        <f t="shared" si="36"/>
        <v>rokwzgl=1 i lp=107211</v>
      </c>
      <c r="G103" s="19" t="str">
        <f t="shared" si="36"/>
        <v>rokwzgl=2 i lp=107211</v>
      </c>
      <c r="H103" s="19" t="str">
        <f t="shared" si="36"/>
        <v>rokwzgl=3 i lp=107211</v>
      </c>
      <c r="I103" s="19" t="str">
        <f t="shared" si="36"/>
        <v>rokwzgl=4 i lp=107211</v>
      </c>
      <c r="J103" s="19" t="str">
        <f t="shared" si="36"/>
        <v>rokwzgl=5 i lp=107211</v>
      </c>
      <c r="K103" s="19" t="str">
        <f t="shared" si="36"/>
        <v>rokwzgl=6 i lp=107211</v>
      </c>
      <c r="L103" s="19" t="str">
        <f t="shared" si="36"/>
        <v>rokwzgl=7 i lp=107211</v>
      </c>
      <c r="M103" s="19" t="str">
        <f t="shared" si="36"/>
        <v>rokwzgl=8 i lp=107211</v>
      </c>
      <c r="N103" s="19" t="str">
        <f t="shared" si="29"/>
        <v>rokwzgl=9 i lp=107211</v>
      </c>
      <c r="O103" s="19" t="str">
        <f t="shared" ref="N103:W116" si="37">+"rokwzgl="&amp;O$9&amp;" i lp="&amp;$A103</f>
        <v>rokwzgl=10 i lp=107211</v>
      </c>
      <c r="P103" s="19" t="str">
        <f t="shared" si="37"/>
        <v>rokwzgl=11 i lp=107211</v>
      </c>
      <c r="Q103" s="19" t="str">
        <f t="shared" si="37"/>
        <v>rokwzgl=12 i lp=107211</v>
      </c>
      <c r="R103" s="19" t="str">
        <f t="shared" si="37"/>
        <v>rokwzgl=13 i lp=107211</v>
      </c>
      <c r="S103" s="19" t="str">
        <f t="shared" si="37"/>
        <v>rokwzgl=14 i lp=107211</v>
      </c>
      <c r="T103" s="19" t="str">
        <f t="shared" si="37"/>
        <v>rokwzgl=15 i lp=107211</v>
      </c>
      <c r="U103" s="19" t="str">
        <f t="shared" si="37"/>
        <v>rokwzgl=16 i lp=107211</v>
      </c>
      <c r="V103" s="19" t="str">
        <f t="shared" si="37"/>
        <v>rokwzgl=17 i lp=107211</v>
      </c>
      <c r="W103" s="19" t="str">
        <f t="shared" si="37"/>
        <v>rokwzgl=18 i lp=107211</v>
      </c>
      <c r="X103" s="19" t="str">
        <f t="shared" si="35"/>
        <v>rokwzgl=19 i lp=107211</v>
      </c>
      <c r="Y103" s="19" t="str">
        <f t="shared" si="35"/>
        <v>rokwzgl=20 i lp=107211</v>
      </c>
      <c r="Z103" s="19" t="str">
        <f t="shared" si="35"/>
        <v>rokwzgl=21 i lp=107211</v>
      </c>
      <c r="AA103" s="19" t="str">
        <f t="shared" si="35"/>
        <v>rokwzgl=22 i lp=107211</v>
      </c>
      <c r="AB103" s="19" t="str">
        <f t="shared" si="35"/>
        <v>rokwzgl=23 i lp=107211</v>
      </c>
      <c r="AC103" s="19" t="str">
        <f t="shared" si="35"/>
        <v>rokwzgl=24 i lp=107211</v>
      </c>
      <c r="AD103" s="19" t="str">
        <f t="shared" si="35"/>
        <v>rokwzgl=25 i lp=107211</v>
      </c>
      <c r="AE103" s="19" t="str">
        <f t="shared" si="35"/>
        <v>rokwzgl=26 i lp=107211</v>
      </c>
      <c r="AF103" s="19" t="str">
        <f t="shared" si="35"/>
        <v>rokwzgl=27 i lp=107211</v>
      </c>
      <c r="AG103" s="19" t="str">
        <f t="shared" si="35"/>
        <v>rokwzgl=28 i lp=107211</v>
      </c>
      <c r="AH103" s="19" t="str">
        <f t="shared" si="35"/>
        <v>rokwzgl=29 i lp=107211</v>
      </c>
      <c r="AI103" s="19" t="str">
        <f t="shared" si="35"/>
        <v>rokwzgl=30 i lp=107211</v>
      </c>
      <c r="AJ103" s="19" t="str">
        <f t="shared" si="35"/>
        <v>rokwzgl=31 i lp=107211</v>
      </c>
      <c r="AK103" s="19" t="str">
        <f t="shared" si="35"/>
        <v>rokwzgl=32 i lp=107211</v>
      </c>
      <c r="AL103" s="19" t="str">
        <f t="shared" si="35"/>
        <v>rokwzgl=33 i lp=107211</v>
      </c>
      <c r="AM103" s="19" t="str">
        <f t="shared" si="35"/>
        <v>rokwzgl=34 i lp=107211</v>
      </c>
      <c r="AN103" s="19" t="str">
        <f t="shared" si="30"/>
        <v>rokwzgl=35 i lp=107211</v>
      </c>
      <c r="AO103" s="19" t="str">
        <f t="shared" si="30"/>
        <v>rokwzgl=36 i lp=107211</v>
      </c>
      <c r="AP103" s="19" t="str">
        <f t="shared" si="30"/>
        <v>rokwzgl=37 i lp=107211</v>
      </c>
      <c r="AQ103" s="19" t="str">
        <f t="shared" si="30"/>
        <v>rokwzgl=38 i lp=107211</v>
      </c>
      <c r="AR103" s="19" t="str">
        <f t="shared" si="30"/>
        <v>rokwzgl=39 i lp=107211</v>
      </c>
    </row>
    <row r="104" spans="1:44">
      <c r="A104" s="74">
        <v>107300</v>
      </c>
      <c r="B104" s="18" t="s">
        <v>297</v>
      </c>
      <c r="C104" s="19" t="s">
        <v>258</v>
      </c>
      <c r="D104" s="19" t="str">
        <f t="shared" si="36"/>
        <v>rokwzgl=0 i lp=107300</v>
      </c>
      <c r="E104" s="19" t="str">
        <f t="shared" si="36"/>
        <v>rokwzgl=0 i lp=107300</v>
      </c>
      <c r="F104" s="19" t="str">
        <f t="shared" si="36"/>
        <v>rokwzgl=1 i lp=107300</v>
      </c>
      <c r="G104" s="19" t="str">
        <f t="shared" si="36"/>
        <v>rokwzgl=2 i lp=107300</v>
      </c>
      <c r="H104" s="19" t="str">
        <f t="shared" si="36"/>
        <v>rokwzgl=3 i lp=107300</v>
      </c>
      <c r="I104" s="19" t="str">
        <f t="shared" si="36"/>
        <v>rokwzgl=4 i lp=107300</v>
      </c>
      <c r="J104" s="19" t="str">
        <f t="shared" si="36"/>
        <v>rokwzgl=5 i lp=107300</v>
      </c>
      <c r="K104" s="19" t="str">
        <f t="shared" si="36"/>
        <v>rokwzgl=6 i lp=107300</v>
      </c>
      <c r="L104" s="19" t="str">
        <f t="shared" si="36"/>
        <v>rokwzgl=7 i lp=107300</v>
      </c>
      <c r="M104" s="19" t="str">
        <f t="shared" si="36"/>
        <v>rokwzgl=8 i lp=107300</v>
      </c>
      <c r="N104" s="19" t="str">
        <f t="shared" si="37"/>
        <v>rokwzgl=9 i lp=107300</v>
      </c>
      <c r="O104" s="19" t="str">
        <f t="shared" si="37"/>
        <v>rokwzgl=10 i lp=107300</v>
      </c>
      <c r="P104" s="19" t="str">
        <f t="shared" si="37"/>
        <v>rokwzgl=11 i lp=107300</v>
      </c>
      <c r="Q104" s="19" t="str">
        <f t="shared" si="37"/>
        <v>rokwzgl=12 i lp=107300</v>
      </c>
      <c r="R104" s="19" t="str">
        <f t="shared" si="37"/>
        <v>rokwzgl=13 i lp=107300</v>
      </c>
      <c r="S104" s="19" t="str">
        <f t="shared" si="37"/>
        <v>rokwzgl=14 i lp=107300</v>
      </c>
      <c r="T104" s="19" t="str">
        <f t="shared" si="37"/>
        <v>rokwzgl=15 i lp=107300</v>
      </c>
      <c r="U104" s="19" t="str">
        <f t="shared" si="37"/>
        <v>rokwzgl=16 i lp=107300</v>
      </c>
      <c r="V104" s="19" t="str">
        <f t="shared" si="37"/>
        <v>rokwzgl=17 i lp=107300</v>
      </c>
      <c r="W104" s="19" t="str">
        <f t="shared" si="37"/>
        <v>rokwzgl=18 i lp=107300</v>
      </c>
      <c r="X104" s="19" t="str">
        <f t="shared" si="35"/>
        <v>rokwzgl=19 i lp=107300</v>
      </c>
      <c r="Y104" s="19" t="str">
        <f t="shared" si="35"/>
        <v>rokwzgl=20 i lp=107300</v>
      </c>
      <c r="Z104" s="19" t="str">
        <f t="shared" si="35"/>
        <v>rokwzgl=21 i lp=107300</v>
      </c>
      <c r="AA104" s="19" t="str">
        <f t="shared" si="35"/>
        <v>rokwzgl=22 i lp=107300</v>
      </c>
      <c r="AB104" s="19" t="str">
        <f t="shared" si="35"/>
        <v>rokwzgl=23 i lp=107300</v>
      </c>
      <c r="AC104" s="19" t="str">
        <f t="shared" si="35"/>
        <v>rokwzgl=24 i lp=107300</v>
      </c>
      <c r="AD104" s="19" t="str">
        <f t="shared" si="35"/>
        <v>rokwzgl=25 i lp=107300</v>
      </c>
      <c r="AE104" s="19" t="str">
        <f t="shared" si="35"/>
        <v>rokwzgl=26 i lp=107300</v>
      </c>
      <c r="AF104" s="19" t="str">
        <f t="shared" si="35"/>
        <v>rokwzgl=27 i lp=107300</v>
      </c>
      <c r="AG104" s="19" t="str">
        <f t="shared" si="35"/>
        <v>rokwzgl=28 i lp=107300</v>
      </c>
      <c r="AH104" s="19" t="str">
        <f t="shared" si="35"/>
        <v>rokwzgl=29 i lp=107300</v>
      </c>
      <c r="AI104" s="19" t="str">
        <f t="shared" si="35"/>
        <v>rokwzgl=30 i lp=107300</v>
      </c>
      <c r="AJ104" s="19" t="str">
        <f t="shared" si="35"/>
        <v>rokwzgl=31 i lp=107300</v>
      </c>
      <c r="AK104" s="19" t="str">
        <f t="shared" si="35"/>
        <v>rokwzgl=32 i lp=107300</v>
      </c>
      <c r="AL104" s="19" t="str">
        <f t="shared" si="35"/>
        <v>rokwzgl=33 i lp=107300</v>
      </c>
      <c r="AM104" s="19" t="str">
        <f t="shared" si="35"/>
        <v>rokwzgl=34 i lp=107300</v>
      </c>
      <c r="AN104" s="19" t="str">
        <f t="shared" si="30"/>
        <v>rokwzgl=35 i lp=107300</v>
      </c>
      <c r="AO104" s="19" t="str">
        <f t="shared" si="30"/>
        <v>rokwzgl=36 i lp=107300</v>
      </c>
      <c r="AP104" s="19" t="str">
        <f t="shared" si="30"/>
        <v>rokwzgl=37 i lp=107300</v>
      </c>
      <c r="AQ104" s="19" t="str">
        <f t="shared" si="30"/>
        <v>rokwzgl=38 i lp=107300</v>
      </c>
      <c r="AR104" s="19" t="str">
        <f t="shared" si="30"/>
        <v>rokwzgl=39 i lp=107300</v>
      </c>
    </row>
    <row r="105" spans="1:44">
      <c r="A105" s="74">
        <v>108000</v>
      </c>
      <c r="B105" s="18" t="s">
        <v>311</v>
      </c>
      <c r="C105" s="19" t="s">
        <v>259</v>
      </c>
      <c r="D105" s="19" t="str">
        <f t="shared" si="36"/>
        <v>rokwzgl=0 i lp=108000</v>
      </c>
      <c r="E105" s="19" t="str">
        <f t="shared" si="36"/>
        <v>rokwzgl=0 i lp=108000</v>
      </c>
      <c r="F105" s="19" t="str">
        <f t="shared" si="36"/>
        <v>rokwzgl=1 i lp=108000</v>
      </c>
      <c r="G105" s="19" t="str">
        <f t="shared" si="36"/>
        <v>rokwzgl=2 i lp=108000</v>
      </c>
      <c r="H105" s="19" t="str">
        <f t="shared" si="36"/>
        <v>rokwzgl=3 i lp=108000</v>
      </c>
      <c r="I105" s="19" t="str">
        <f t="shared" si="36"/>
        <v>rokwzgl=4 i lp=108000</v>
      </c>
      <c r="J105" s="19" t="str">
        <f t="shared" si="36"/>
        <v>rokwzgl=5 i lp=108000</v>
      </c>
      <c r="K105" s="19" t="str">
        <f t="shared" si="36"/>
        <v>rokwzgl=6 i lp=108000</v>
      </c>
      <c r="L105" s="19" t="str">
        <f t="shared" si="36"/>
        <v>rokwzgl=7 i lp=108000</v>
      </c>
      <c r="M105" s="19" t="str">
        <f t="shared" si="36"/>
        <v>rokwzgl=8 i lp=108000</v>
      </c>
      <c r="N105" s="19" t="str">
        <f t="shared" si="37"/>
        <v>rokwzgl=9 i lp=108000</v>
      </c>
      <c r="O105" s="19" t="str">
        <f t="shared" si="37"/>
        <v>rokwzgl=10 i lp=108000</v>
      </c>
      <c r="P105" s="19" t="str">
        <f t="shared" si="37"/>
        <v>rokwzgl=11 i lp=108000</v>
      </c>
      <c r="Q105" s="19" t="str">
        <f t="shared" si="37"/>
        <v>rokwzgl=12 i lp=108000</v>
      </c>
      <c r="R105" s="19" t="str">
        <f t="shared" si="37"/>
        <v>rokwzgl=13 i lp=108000</v>
      </c>
      <c r="S105" s="19" t="str">
        <f t="shared" si="37"/>
        <v>rokwzgl=14 i lp=108000</v>
      </c>
      <c r="T105" s="19" t="str">
        <f t="shared" si="37"/>
        <v>rokwzgl=15 i lp=108000</v>
      </c>
      <c r="U105" s="19" t="str">
        <f t="shared" si="37"/>
        <v>rokwzgl=16 i lp=108000</v>
      </c>
      <c r="V105" s="19" t="str">
        <f t="shared" si="37"/>
        <v>rokwzgl=17 i lp=108000</v>
      </c>
      <c r="W105" s="19" t="str">
        <f t="shared" si="37"/>
        <v>rokwzgl=18 i lp=108000</v>
      </c>
      <c r="X105" s="19" t="str">
        <f t="shared" si="35"/>
        <v>rokwzgl=19 i lp=108000</v>
      </c>
      <c r="Y105" s="19" t="str">
        <f t="shared" si="35"/>
        <v>rokwzgl=20 i lp=108000</v>
      </c>
      <c r="Z105" s="19" t="str">
        <f t="shared" si="35"/>
        <v>rokwzgl=21 i lp=108000</v>
      </c>
      <c r="AA105" s="19" t="str">
        <f t="shared" si="35"/>
        <v>rokwzgl=22 i lp=108000</v>
      </c>
      <c r="AB105" s="19" t="str">
        <f t="shared" si="35"/>
        <v>rokwzgl=23 i lp=108000</v>
      </c>
      <c r="AC105" s="19" t="str">
        <f t="shared" si="35"/>
        <v>rokwzgl=24 i lp=108000</v>
      </c>
      <c r="AD105" s="19" t="str">
        <f t="shared" si="35"/>
        <v>rokwzgl=25 i lp=108000</v>
      </c>
      <c r="AE105" s="19" t="str">
        <f t="shared" si="35"/>
        <v>rokwzgl=26 i lp=108000</v>
      </c>
      <c r="AF105" s="19" t="str">
        <f t="shared" si="35"/>
        <v>rokwzgl=27 i lp=108000</v>
      </c>
      <c r="AG105" s="19" t="str">
        <f t="shared" si="35"/>
        <v>rokwzgl=28 i lp=108000</v>
      </c>
      <c r="AH105" s="19" t="str">
        <f t="shared" si="35"/>
        <v>rokwzgl=29 i lp=108000</v>
      </c>
      <c r="AI105" s="19" t="str">
        <f t="shared" si="35"/>
        <v>rokwzgl=30 i lp=108000</v>
      </c>
      <c r="AJ105" s="19" t="str">
        <f t="shared" si="35"/>
        <v>rokwzgl=31 i lp=108000</v>
      </c>
      <c r="AK105" s="19" t="str">
        <f t="shared" si="35"/>
        <v>rokwzgl=32 i lp=108000</v>
      </c>
      <c r="AL105" s="19" t="str">
        <f t="shared" si="35"/>
        <v>rokwzgl=33 i lp=108000</v>
      </c>
      <c r="AM105" s="19" t="str">
        <f t="shared" si="35"/>
        <v>rokwzgl=34 i lp=108000</v>
      </c>
      <c r="AN105" s="19" t="str">
        <f t="shared" si="30"/>
        <v>rokwzgl=35 i lp=108000</v>
      </c>
      <c r="AO105" s="19" t="str">
        <f t="shared" si="30"/>
        <v>rokwzgl=36 i lp=108000</v>
      </c>
      <c r="AP105" s="19" t="str">
        <f t="shared" si="30"/>
        <v>rokwzgl=37 i lp=108000</v>
      </c>
      <c r="AQ105" s="19" t="str">
        <f t="shared" si="30"/>
        <v>rokwzgl=38 i lp=108000</v>
      </c>
      <c r="AR105" s="19" t="str">
        <f t="shared" si="30"/>
        <v>rokwzgl=39 i lp=108000</v>
      </c>
    </row>
    <row r="106" spans="1:44">
      <c r="A106" s="74">
        <v>109000</v>
      </c>
      <c r="B106" s="18" t="s">
        <v>312</v>
      </c>
      <c r="C106" s="19" t="s">
        <v>260</v>
      </c>
      <c r="D106" s="19" t="str">
        <f t="shared" si="36"/>
        <v>rokwzgl=0 i lp=109000</v>
      </c>
      <c r="E106" s="19" t="str">
        <f t="shared" si="36"/>
        <v>rokwzgl=0 i lp=109000</v>
      </c>
      <c r="F106" s="19" t="str">
        <f t="shared" si="36"/>
        <v>rokwzgl=1 i lp=109000</v>
      </c>
      <c r="G106" s="19" t="str">
        <f t="shared" si="36"/>
        <v>rokwzgl=2 i lp=109000</v>
      </c>
      <c r="H106" s="19" t="str">
        <f t="shared" si="36"/>
        <v>rokwzgl=3 i lp=109000</v>
      </c>
      <c r="I106" s="19" t="str">
        <f t="shared" si="36"/>
        <v>rokwzgl=4 i lp=109000</v>
      </c>
      <c r="J106" s="19" t="str">
        <f t="shared" si="36"/>
        <v>rokwzgl=5 i lp=109000</v>
      </c>
      <c r="K106" s="19" t="str">
        <f t="shared" si="36"/>
        <v>rokwzgl=6 i lp=109000</v>
      </c>
      <c r="L106" s="19" t="str">
        <f t="shared" si="36"/>
        <v>rokwzgl=7 i lp=109000</v>
      </c>
      <c r="M106" s="19" t="str">
        <f t="shared" si="36"/>
        <v>rokwzgl=8 i lp=109000</v>
      </c>
      <c r="N106" s="19" t="str">
        <f t="shared" si="37"/>
        <v>rokwzgl=9 i lp=109000</v>
      </c>
      <c r="O106" s="19" t="str">
        <f t="shared" si="37"/>
        <v>rokwzgl=10 i lp=109000</v>
      </c>
      <c r="P106" s="19" t="str">
        <f t="shared" si="37"/>
        <v>rokwzgl=11 i lp=109000</v>
      </c>
      <c r="Q106" s="19" t="str">
        <f t="shared" si="37"/>
        <v>rokwzgl=12 i lp=109000</v>
      </c>
      <c r="R106" s="19" t="str">
        <f t="shared" si="37"/>
        <v>rokwzgl=13 i lp=109000</v>
      </c>
      <c r="S106" s="19" t="str">
        <f t="shared" si="37"/>
        <v>rokwzgl=14 i lp=109000</v>
      </c>
      <c r="T106" s="19" t="str">
        <f t="shared" si="37"/>
        <v>rokwzgl=15 i lp=109000</v>
      </c>
      <c r="U106" s="19" t="str">
        <f t="shared" si="37"/>
        <v>rokwzgl=16 i lp=109000</v>
      </c>
      <c r="V106" s="19" t="str">
        <f t="shared" si="37"/>
        <v>rokwzgl=17 i lp=109000</v>
      </c>
      <c r="W106" s="19" t="str">
        <f t="shared" si="37"/>
        <v>rokwzgl=18 i lp=109000</v>
      </c>
      <c r="X106" s="19" t="str">
        <f t="shared" si="35"/>
        <v>rokwzgl=19 i lp=109000</v>
      </c>
      <c r="Y106" s="19" t="str">
        <f t="shared" si="35"/>
        <v>rokwzgl=20 i lp=109000</v>
      </c>
      <c r="Z106" s="19" t="str">
        <f t="shared" si="35"/>
        <v>rokwzgl=21 i lp=109000</v>
      </c>
      <c r="AA106" s="19" t="str">
        <f t="shared" si="35"/>
        <v>rokwzgl=22 i lp=109000</v>
      </c>
      <c r="AB106" s="19" t="str">
        <f t="shared" si="35"/>
        <v>rokwzgl=23 i lp=109000</v>
      </c>
      <c r="AC106" s="19" t="str">
        <f t="shared" si="35"/>
        <v>rokwzgl=24 i lp=109000</v>
      </c>
      <c r="AD106" s="19" t="str">
        <f t="shared" si="35"/>
        <v>rokwzgl=25 i lp=109000</v>
      </c>
      <c r="AE106" s="19" t="str">
        <f t="shared" si="35"/>
        <v>rokwzgl=26 i lp=109000</v>
      </c>
      <c r="AF106" s="19" t="str">
        <f t="shared" si="35"/>
        <v>rokwzgl=27 i lp=109000</v>
      </c>
      <c r="AG106" s="19" t="str">
        <f t="shared" si="35"/>
        <v>rokwzgl=28 i lp=109000</v>
      </c>
      <c r="AH106" s="19" t="str">
        <f t="shared" si="35"/>
        <v>rokwzgl=29 i lp=109000</v>
      </c>
      <c r="AI106" s="19" t="str">
        <f t="shared" si="35"/>
        <v>rokwzgl=30 i lp=109000</v>
      </c>
      <c r="AJ106" s="19" t="str">
        <f t="shared" si="35"/>
        <v>rokwzgl=31 i lp=109000</v>
      </c>
      <c r="AK106" s="19" t="str">
        <f t="shared" si="35"/>
        <v>rokwzgl=32 i lp=109000</v>
      </c>
      <c r="AL106" s="19" t="str">
        <f t="shared" si="35"/>
        <v>rokwzgl=33 i lp=109000</v>
      </c>
      <c r="AM106" s="19" t="str">
        <f t="shared" si="35"/>
        <v>rokwzgl=34 i lp=109000</v>
      </c>
      <c r="AN106" s="19" t="str">
        <f t="shared" si="30"/>
        <v>rokwzgl=35 i lp=109000</v>
      </c>
      <c r="AO106" s="19" t="str">
        <f t="shared" si="30"/>
        <v>rokwzgl=36 i lp=109000</v>
      </c>
      <c r="AP106" s="19" t="str">
        <f t="shared" si="30"/>
        <v>rokwzgl=37 i lp=109000</v>
      </c>
      <c r="AQ106" s="19" t="str">
        <f t="shared" si="30"/>
        <v>rokwzgl=38 i lp=109000</v>
      </c>
      <c r="AR106" s="19" t="str">
        <f t="shared" si="30"/>
        <v>rokwzgl=39 i lp=109000</v>
      </c>
    </row>
    <row r="107" spans="1:44">
      <c r="A107" s="74">
        <v>109100</v>
      </c>
      <c r="B107" s="18" t="s">
        <v>588</v>
      </c>
      <c r="D107" s="19" t="str">
        <f t="shared" si="36"/>
        <v>rokwzgl=0 i lp=109100</v>
      </c>
      <c r="E107" s="19" t="str">
        <f t="shared" si="36"/>
        <v>rokwzgl=0 i lp=109100</v>
      </c>
      <c r="F107" s="19" t="str">
        <f t="shared" si="36"/>
        <v>rokwzgl=1 i lp=109100</v>
      </c>
      <c r="G107" s="19" t="str">
        <f t="shared" si="36"/>
        <v>rokwzgl=2 i lp=109100</v>
      </c>
      <c r="H107" s="19" t="str">
        <f t="shared" si="36"/>
        <v>rokwzgl=3 i lp=109100</v>
      </c>
      <c r="I107" s="19" t="str">
        <f t="shared" si="36"/>
        <v>rokwzgl=4 i lp=109100</v>
      </c>
      <c r="J107" s="19" t="str">
        <f t="shared" si="36"/>
        <v>rokwzgl=5 i lp=109100</v>
      </c>
      <c r="K107" s="19" t="str">
        <f t="shared" si="36"/>
        <v>rokwzgl=6 i lp=109100</v>
      </c>
      <c r="L107" s="19" t="str">
        <f t="shared" si="36"/>
        <v>rokwzgl=7 i lp=109100</v>
      </c>
      <c r="M107" s="19" t="str">
        <f t="shared" si="36"/>
        <v>rokwzgl=8 i lp=109100</v>
      </c>
      <c r="N107" s="19" t="str">
        <f t="shared" si="37"/>
        <v>rokwzgl=9 i lp=109100</v>
      </c>
      <c r="O107" s="19" t="str">
        <f t="shared" si="37"/>
        <v>rokwzgl=10 i lp=109100</v>
      </c>
      <c r="P107" s="19" t="str">
        <f t="shared" si="37"/>
        <v>rokwzgl=11 i lp=109100</v>
      </c>
      <c r="Q107" s="19" t="str">
        <f t="shared" si="37"/>
        <v>rokwzgl=12 i lp=109100</v>
      </c>
      <c r="R107" s="19" t="str">
        <f t="shared" si="37"/>
        <v>rokwzgl=13 i lp=109100</v>
      </c>
      <c r="S107" s="19" t="str">
        <f t="shared" si="37"/>
        <v>rokwzgl=14 i lp=109100</v>
      </c>
      <c r="T107" s="19" t="str">
        <f t="shared" si="37"/>
        <v>rokwzgl=15 i lp=109100</v>
      </c>
      <c r="U107" s="19" t="str">
        <f t="shared" si="37"/>
        <v>rokwzgl=16 i lp=109100</v>
      </c>
      <c r="V107" s="19" t="str">
        <f t="shared" si="37"/>
        <v>rokwzgl=17 i lp=109100</v>
      </c>
      <c r="W107" s="19" t="str">
        <f t="shared" si="37"/>
        <v>rokwzgl=18 i lp=109100</v>
      </c>
      <c r="X107" s="19" t="str">
        <f t="shared" si="35"/>
        <v>rokwzgl=19 i lp=109100</v>
      </c>
      <c r="Y107" s="19" t="str">
        <f t="shared" si="35"/>
        <v>rokwzgl=20 i lp=109100</v>
      </c>
      <c r="Z107" s="19" t="str">
        <f t="shared" si="35"/>
        <v>rokwzgl=21 i lp=109100</v>
      </c>
      <c r="AA107" s="19" t="str">
        <f t="shared" si="35"/>
        <v>rokwzgl=22 i lp=109100</v>
      </c>
      <c r="AB107" s="19" t="str">
        <f t="shared" si="35"/>
        <v>rokwzgl=23 i lp=109100</v>
      </c>
      <c r="AC107" s="19" t="str">
        <f t="shared" si="35"/>
        <v>rokwzgl=24 i lp=109100</v>
      </c>
      <c r="AD107" s="19" t="str">
        <f t="shared" si="35"/>
        <v>rokwzgl=25 i lp=109100</v>
      </c>
      <c r="AE107" s="19" t="str">
        <f t="shared" si="35"/>
        <v>rokwzgl=26 i lp=109100</v>
      </c>
      <c r="AF107" s="19" t="str">
        <f t="shared" si="35"/>
        <v>rokwzgl=27 i lp=109100</v>
      </c>
      <c r="AG107" s="19" t="str">
        <f t="shared" si="35"/>
        <v>rokwzgl=28 i lp=109100</v>
      </c>
      <c r="AH107" s="19" t="str">
        <f t="shared" si="35"/>
        <v>rokwzgl=29 i lp=109100</v>
      </c>
      <c r="AI107" s="19" t="str">
        <f t="shared" si="35"/>
        <v>rokwzgl=30 i lp=109100</v>
      </c>
      <c r="AJ107" s="19" t="str">
        <f t="shared" si="35"/>
        <v>rokwzgl=31 i lp=109100</v>
      </c>
      <c r="AK107" s="19" t="str">
        <f t="shared" si="35"/>
        <v>rokwzgl=32 i lp=109100</v>
      </c>
      <c r="AL107" s="19" t="str">
        <f t="shared" si="35"/>
        <v>rokwzgl=33 i lp=109100</v>
      </c>
      <c r="AM107" s="19" t="str">
        <f t="shared" si="35"/>
        <v>rokwzgl=34 i lp=109100</v>
      </c>
      <c r="AN107" s="19" t="str">
        <f t="shared" si="30"/>
        <v>rokwzgl=35 i lp=109100</v>
      </c>
      <c r="AO107" s="19" t="str">
        <f t="shared" si="30"/>
        <v>rokwzgl=36 i lp=109100</v>
      </c>
      <c r="AP107" s="19" t="str">
        <f t="shared" si="30"/>
        <v>rokwzgl=37 i lp=109100</v>
      </c>
      <c r="AQ107" s="19" t="str">
        <f t="shared" si="30"/>
        <v>rokwzgl=38 i lp=109100</v>
      </c>
      <c r="AR107" s="19" t="str">
        <f t="shared" si="30"/>
        <v>rokwzgl=39 i lp=109100</v>
      </c>
    </row>
    <row r="108" spans="1:44">
      <c r="A108" s="74">
        <v>109110</v>
      </c>
      <c r="B108" s="18" t="s">
        <v>589</v>
      </c>
      <c r="D108" s="19" t="str">
        <f t="shared" si="36"/>
        <v>rokwzgl=0 i lp=109110</v>
      </c>
      <c r="E108" s="19" t="str">
        <f t="shared" si="36"/>
        <v>rokwzgl=0 i lp=109110</v>
      </c>
      <c r="F108" s="19" t="str">
        <f t="shared" si="36"/>
        <v>rokwzgl=1 i lp=109110</v>
      </c>
      <c r="G108" s="19" t="str">
        <f t="shared" si="36"/>
        <v>rokwzgl=2 i lp=109110</v>
      </c>
      <c r="H108" s="19" t="str">
        <f t="shared" si="36"/>
        <v>rokwzgl=3 i lp=109110</v>
      </c>
      <c r="I108" s="19" t="str">
        <f t="shared" si="36"/>
        <v>rokwzgl=4 i lp=109110</v>
      </c>
      <c r="J108" s="19" t="str">
        <f t="shared" si="36"/>
        <v>rokwzgl=5 i lp=109110</v>
      </c>
      <c r="K108" s="19" t="str">
        <f t="shared" si="36"/>
        <v>rokwzgl=6 i lp=109110</v>
      </c>
      <c r="L108" s="19" t="str">
        <f t="shared" si="36"/>
        <v>rokwzgl=7 i lp=109110</v>
      </c>
      <c r="M108" s="19" t="str">
        <f t="shared" si="36"/>
        <v>rokwzgl=8 i lp=109110</v>
      </c>
      <c r="N108" s="19" t="str">
        <f t="shared" si="37"/>
        <v>rokwzgl=9 i lp=109110</v>
      </c>
      <c r="O108" s="19" t="str">
        <f t="shared" si="37"/>
        <v>rokwzgl=10 i lp=109110</v>
      </c>
      <c r="P108" s="19" t="str">
        <f t="shared" si="37"/>
        <v>rokwzgl=11 i lp=109110</v>
      </c>
      <c r="Q108" s="19" t="str">
        <f t="shared" si="37"/>
        <v>rokwzgl=12 i lp=109110</v>
      </c>
      <c r="R108" s="19" t="str">
        <f t="shared" si="37"/>
        <v>rokwzgl=13 i lp=109110</v>
      </c>
      <c r="S108" s="19" t="str">
        <f t="shared" si="37"/>
        <v>rokwzgl=14 i lp=109110</v>
      </c>
      <c r="T108" s="19" t="str">
        <f t="shared" si="37"/>
        <v>rokwzgl=15 i lp=109110</v>
      </c>
      <c r="U108" s="19" t="str">
        <f t="shared" si="37"/>
        <v>rokwzgl=16 i lp=109110</v>
      </c>
      <c r="V108" s="19" t="str">
        <f t="shared" si="37"/>
        <v>rokwzgl=17 i lp=109110</v>
      </c>
      <c r="W108" s="19" t="str">
        <f t="shared" si="37"/>
        <v>rokwzgl=18 i lp=109110</v>
      </c>
      <c r="X108" s="19" t="str">
        <f t="shared" si="35"/>
        <v>rokwzgl=19 i lp=109110</v>
      </c>
      <c r="Y108" s="19" t="str">
        <f t="shared" si="35"/>
        <v>rokwzgl=20 i lp=109110</v>
      </c>
      <c r="Z108" s="19" t="str">
        <f t="shared" si="35"/>
        <v>rokwzgl=21 i lp=109110</v>
      </c>
      <c r="AA108" s="19" t="str">
        <f t="shared" si="35"/>
        <v>rokwzgl=22 i lp=109110</v>
      </c>
      <c r="AB108" s="19" t="str">
        <f t="shared" si="35"/>
        <v>rokwzgl=23 i lp=109110</v>
      </c>
      <c r="AC108" s="19" t="str">
        <f t="shared" si="35"/>
        <v>rokwzgl=24 i lp=109110</v>
      </c>
      <c r="AD108" s="19" t="str">
        <f t="shared" si="35"/>
        <v>rokwzgl=25 i lp=109110</v>
      </c>
      <c r="AE108" s="19" t="str">
        <f t="shared" si="35"/>
        <v>rokwzgl=26 i lp=109110</v>
      </c>
      <c r="AF108" s="19" t="str">
        <f t="shared" si="35"/>
        <v>rokwzgl=27 i lp=109110</v>
      </c>
      <c r="AG108" s="19" t="str">
        <f t="shared" si="35"/>
        <v>rokwzgl=28 i lp=109110</v>
      </c>
      <c r="AH108" s="19" t="str">
        <f t="shared" si="35"/>
        <v>rokwzgl=29 i lp=109110</v>
      </c>
      <c r="AI108" s="19" t="str">
        <f t="shared" si="35"/>
        <v>rokwzgl=30 i lp=109110</v>
      </c>
      <c r="AJ108" s="19" t="str">
        <f t="shared" si="35"/>
        <v>rokwzgl=31 i lp=109110</v>
      </c>
      <c r="AK108" s="19" t="str">
        <f t="shared" si="35"/>
        <v>rokwzgl=32 i lp=109110</v>
      </c>
      <c r="AL108" s="19" t="str">
        <f t="shared" si="35"/>
        <v>rokwzgl=33 i lp=109110</v>
      </c>
      <c r="AM108" s="19" t="str">
        <f t="shared" si="35"/>
        <v>rokwzgl=34 i lp=109110</v>
      </c>
      <c r="AN108" s="19" t="str">
        <f t="shared" si="30"/>
        <v>rokwzgl=35 i lp=109110</v>
      </c>
      <c r="AO108" s="19" t="str">
        <f t="shared" si="30"/>
        <v>rokwzgl=36 i lp=109110</v>
      </c>
      <c r="AP108" s="19" t="str">
        <f t="shared" si="30"/>
        <v>rokwzgl=37 i lp=109110</v>
      </c>
      <c r="AQ108" s="19" t="str">
        <f t="shared" si="30"/>
        <v>rokwzgl=38 i lp=109110</v>
      </c>
      <c r="AR108" s="19" t="str">
        <f t="shared" si="30"/>
        <v>rokwzgl=39 i lp=109110</v>
      </c>
    </row>
    <row r="109" spans="1:44">
      <c r="A109" s="74">
        <v>110000</v>
      </c>
      <c r="B109" s="18">
        <v>11</v>
      </c>
      <c r="C109" s="19" t="s">
        <v>170</v>
      </c>
      <c r="D109" s="19" t="str">
        <f t="shared" si="36"/>
        <v>rokwzgl=0 i lp=110000</v>
      </c>
      <c r="E109" s="19" t="str">
        <f t="shared" si="36"/>
        <v>rokwzgl=0 i lp=110000</v>
      </c>
      <c r="F109" s="19" t="str">
        <f t="shared" si="36"/>
        <v>rokwzgl=1 i lp=110000</v>
      </c>
      <c r="G109" s="19" t="str">
        <f t="shared" si="36"/>
        <v>rokwzgl=2 i lp=110000</v>
      </c>
      <c r="H109" s="19" t="str">
        <f t="shared" si="36"/>
        <v>rokwzgl=3 i lp=110000</v>
      </c>
      <c r="I109" s="19" t="str">
        <f t="shared" si="36"/>
        <v>rokwzgl=4 i lp=110000</v>
      </c>
      <c r="J109" s="19" t="str">
        <f t="shared" si="36"/>
        <v>rokwzgl=5 i lp=110000</v>
      </c>
      <c r="K109" s="19" t="str">
        <f t="shared" si="36"/>
        <v>rokwzgl=6 i lp=110000</v>
      </c>
      <c r="L109" s="19" t="str">
        <f t="shared" si="36"/>
        <v>rokwzgl=7 i lp=110000</v>
      </c>
      <c r="M109" s="19" t="str">
        <f t="shared" si="36"/>
        <v>rokwzgl=8 i lp=110000</v>
      </c>
      <c r="N109" s="19" t="str">
        <f t="shared" si="37"/>
        <v>rokwzgl=9 i lp=110000</v>
      </c>
      <c r="O109" s="19" t="str">
        <f t="shared" si="37"/>
        <v>rokwzgl=10 i lp=110000</v>
      </c>
      <c r="P109" s="19" t="str">
        <f t="shared" si="37"/>
        <v>rokwzgl=11 i lp=110000</v>
      </c>
      <c r="Q109" s="19" t="str">
        <f t="shared" si="37"/>
        <v>rokwzgl=12 i lp=110000</v>
      </c>
      <c r="R109" s="19" t="str">
        <f t="shared" si="37"/>
        <v>rokwzgl=13 i lp=110000</v>
      </c>
      <c r="S109" s="19" t="str">
        <f t="shared" si="37"/>
        <v>rokwzgl=14 i lp=110000</v>
      </c>
      <c r="T109" s="19" t="str">
        <f t="shared" si="37"/>
        <v>rokwzgl=15 i lp=110000</v>
      </c>
      <c r="U109" s="19" t="str">
        <f t="shared" si="37"/>
        <v>rokwzgl=16 i lp=110000</v>
      </c>
      <c r="V109" s="19" t="str">
        <f t="shared" si="37"/>
        <v>rokwzgl=17 i lp=110000</v>
      </c>
      <c r="W109" s="19" t="str">
        <f t="shared" si="37"/>
        <v>rokwzgl=18 i lp=110000</v>
      </c>
      <c r="X109" s="19" t="str">
        <f t="shared" si="35"/>
        <v>rokwzgl=19 i lp=110000</v>
      </c>
      <c r="Y109" s="19" t="str">
        <f t="shared" si="35"/>
        <v>rokwzgl=20 i lp=110000</v>
      </c>
      <c r="Z109" s="19" t="str">
        <f t="shared" si="35"/>
        <v>rokwzgl=21 i lp=110000</v>
      </c>
      <c r="AA109" s="19" t="str">
        <f t="shared" si="35"/>
        <v>rokwzgl=22 i lp=110000</v>
      </c>
      <c r="AB109" s="19" t="str">
        <f t="shared" si="35"/>
        <v>rokwzgl=23 i lp=110000</v>
      </c>
      <c r="AC109" s="19" t="str">
        <f t="shared" si="35"/>
        <v>rokwzgl=24 i lp=110000</v>
      </c>
      <c r="AD109" s="19" t="str">
        <f t="shared" si="35"/>
        <v>rokwzgl=25 i lp=110000</v>
      </c>
      <c r="AE109" s="19" t="str">
        <f t="shared" si="35"/>
        <v>rokwzgl=26 i lp=110000</v>
      </c>
      <c r="AF109" s="19" t="str">
        <f t="shared" si="35"/>
        <v>rokwzgl=27 i lp=110000</v>
      </c>
      <c r="AG109" s="19" t="str">
        <f t="shared" si="35"/>
        <v>rokwzgl=28 i lp=110000</v>
      </c>
      <c r="AH109" s="19" t="str">
        <f t="shared" si="35"/>
        <v>rokwzgl=29 i lp=110000</v>
      </c>
      <c r="AI109" s="19" t="str">
        <f t="shared" si="35"/>
        <v>rokwzgl=30 i lp=110000</v>
      </c>
      <c r="AJ109" s="19" t="str">
        <f t="shared" si="35"/>
        <v>rokwzgl=31 i lp=110000</v>
      </c>
      <c r="AK109" s="19" t="str">
        <f t="shared" si="35"/>
        <v>rokwzgl=32 i lp=110000</v>
      </c>
      <c r="AL109" s="19" t="str">
        <f t="shared" si="35"/>
        <v>rokwzgl=33 i lp=110000</v>
      </c>
      <c r="AM109" s="19" t="str">
        <f t="shared" si="35"/>
        <v>rokwzgl=34 i lp=110000</v>
      </c>
      <c r="AN109" s="19" t="str">
        <f t="shared" si="30"/>
        <v>rokwzgl=35 i lp=110000</v>
      </c>
      <c r="AO109" s="19" t="str">
        <f t="shared" si="30"/>
        <v>rokwzgl=36 i lp=110000</v>
      </c>
      <c r="AP109" s="19" t="str">
        <f t="shared" si="30"/>
        <v>rokwzgl=37 i lp=110000</v>
      </c>
      <c r="AQ109" s="19" t="str">
        <f t="shared" si="30"/>
        <v>rokwzgl=38 i lp=110000</v>
      </c>
      <c r="AR109" s="19" t="str">
        <f t="shared" si="30"/>
        <v>rokwzgl=39 i lp=110000</v>
      </c>
    </row>
    <row r="110" spans="1:44">
      <c r="A110" s="74">
        <v>111000</v>
      </c>
      <c r="B110" s="18" t="s">
        <v>71</v>
      </c>
      <c r="C110" s="19" t="s">
        <v>261</v>
      </c>
      <c r="D110" s="19" t="str">
        <f t="shared" si="36"/>
        <v>rokwzgl=0 i lp=111000</v>
      </c>
      <c r="E110" s="19" t="str">
        <f t="shared" si="36"/>
        <v>rokwzgl=0 i lp=111000</v>
      </c>
      <c r="F110" s="19" t="str">
        <f t="shared" si="36"/>
        <v>rokwzgl=1 i lp=111000</v>
      </c>
      <c r="G110" s="19" t="str">
        <f t="shared" si="36"/>
        <v>rokwzgl=2 i lp=111000</v>
      </c>
      <c r="H110" s="19" t="str">
        <f t="shared" si="36"/>
        <v>rokwzgl=3 i lp=111000</v>
      </c>
      <c r="I110" s="19" t="str">
        <f t="shared" si="36"/>
        <v>rokwzgl=4 i lp=111000</v>
      </c>
      <c r="J110" s="19" t="str">
        <f t="shared" si="36"/>
        <v>rokwzgl=5 i lp=111000</v>
      </c>
      <c r="K110" s="19" t="str">
        <f t="shared" si="36"/>
        <v>rokwzgl=6 i lp=111000</v>
      </c>
      <c r="L110" s="19" t="str">
        <f t="shared" si="36"/>
        <v>rokwzgl=7 i lp=111000</v>
      </c>
      <c r="M110" s="19" t="str">
        <f t="shared" si="36"/>
        <v>rokwzgl=8 i lp=111000</v>
      </c>
      <c r="N110" s="19" t="str">
        <f t="shared" si="37"/>
        <v>rokwzgl=9 i lp=111000</v>
      </c>
      <c r="O110" s="19" t="str">
        <f t="shared" si="37"/>
        <v>rokwzgl=10 i lp=111000</v>
      </c>
      <c r="P110" s="19" t="str">
        <f t="shared" si="37"/>
        <v>rokwzgl=11 i lp=111000</v>
      </c>
      <c r="Q110" s="19" t="str">
        <f t="shared" si="37"/>
        <v>rokwzgl=12 i lp=111000</v>
      </c>
      <c r="R110" s="19" t="str">
        <f t="shared" si="37"/>
        <v>rokwzgl=13 i lp=111000</v>
      </c>
      <c r="S110" s="19" t="str">
        <f t="shared" si="37"/>
        <v>rokwzgl=14 i lp=111000</v>
      </c>
      <c r="T110" s="19" t="str">
        <f t="shared" si="37"/>
        <v>rokwzgl=15 i lp=111000</v>
      </c>
      <c r="U110" s="19" t="str">
        <f t="shared" si="37"/>
        <v>rokwzgl=16 i lp=111000</v>
      </c>
      <c r="V110" s="19" t="str">
        <f t="shared" si="37"/>
        <v>rokwzgl=17 i lp=111000</v>
      </c>
      <c r="W110" s="19" t="str">
        <f t="shared" si="37"/>
        <v>rokwzgl=18 i lp=111000</v>
      </c>
      <c r="X110" s="19" t="str">
        <f t="shared" si="35"/>
        <v>rokwzgl=19 i lp=111000</v>
      </c>
      <c r="Y110" s="19" t="str">
        <f t="shared" si="35"/>
        <v>rokwzgl=20 i lp=111000</v>
      </c>
      <c r="Z110" s="19" t="str">
        <f t="shared" si="35"/>
        <v>rokwzgl=21 i lp=111000</v>
      </c>
      <c r="AA110" s="19" t="str">
        <f t="shared" si="35"/>
        <v>rokwzgl=22 i lp=111000</v>
      </c>
      <c r="AB110" s="19" t="str">
        <f t="shared" si="35"/>
        <v>rokwzgl=23 i lp=111000</v>
      </c>
      <c r="AC110" s="19" t="str">
        <f t="shared" si="35"/>
        <v>rokwzgl=24 i lp=111000</v>
      </c>
      <c r="AD110" s="19" t="str">
        <f t="shared" si="35"/>
        <v>rokwzgl=25 i lp=111000</v>
      </c>
      <c r="AE110" s="19" t="str">
        <f t="shared" si="35"/>
        <v>rokwzgl=26 i lp=111000</v>
      </c>
      <c r="AF110" s="19" t="str">
        <f t="shared" si="35"/>
        <v>rokwzgl=27 i lp=111000</v>
      </c>
      <c r="AG110" s="19" t="str">
        <f t="shared" si="35"/>
        <v>rokwzgl=28 i lp=111000</v>
      </c>
      <c r="AH110" s="19" t="str">
        <f t="shared" si="35"/>
        <v>rokwzgl=29 i lp=111000</v>
      </c>
      <c r="AI110" s="19" t="str">
        <f t="shared" si="35"/>
        <v>rokwzgl=30 i lp=111000</v>
      </c>
      <c r="AJ110" s="19" t="str">
        <f t="shared" si="35"/>
        <v>rokwzgl=31 i lp=111000</v>
      </c>
      <c r="AK110" s="19" t="str">
        <f t="shared" si="35"/>
        <v>rokwzgl=32 i lp=111000</v>
      </c>
      <c r="AL110" s="19" t="str">
        <f t="shared" si="35"/>
        <v>rokwzgl=33 i lp=111000</v>
      </c>
      <c r="AM110" s="19" t="str">
        <f t="shared" si="35"/>
        <v>rokwzgl=34 i lp=111000</v>
      </c>
      <c r="AN110" s="19" t="str">
        <f t="shared" si="30"/>
        <v>rokwzgl=35 i lp=111000</v>
      </c>
      <c r="AO110" s="19" t="str">
        <f t="shared" si="30"/>
        <v>rokwzgl=36 i lp=111000</v>
      </c>
      <c r="AP110" s="19" t="str">
        <f t="shared" si="30"/>
        <v>rokwzgl=37 i lp=111000</v>
      </c>
      <c r="AQ110" s="19" t="str">
        <f t="shared" si="30"/>
        <v>rokwzgl=38 i lp=111000</v>
      </c>
      <c r="AR110" s="19" t="str">
        <f t="shared" si="30"/>
        <v>rokwzgl=39 i lp=111000</v>
      </c>
    </row>
    <row r="111" spans="1:44">
      <c r="A111" s="74">
        <v>111100</v>
      </c>
      <c r="B111" s="18" t="s">
        <v>298</v>
      </c>
      <c r="C111" s="19" t="s">
        <v>262</v>
      </c>
      <c r="D111" s="19" t="str">
        <f t="shared" si="36"/>
        <v>rokwzgl=0 i lp=111100</v>
      </c>
      <c r="E111" s="19" t="str">
        <f t="shared" si="36"/>
        <v>rokwzgl=0 i lp=111100</v>
      </c>
      <c r="F111" s="19" t="str">
        <f t="shared" si="36"/>
        <v>rokwzgl=1 i lp=111100</v>
      </c>
      <c r="G111" s="19" t="str">
        <f t="shared" si="36"/>
        <v>rokwzgl=2 i lp=111100</v>
      </c>
      <c r="H111" s="19" t="str">
        <f t="shared" si="36"/>
        <v>rokwzgl=3 i lp=111100</v>
      </c>
      <c r="I111" s="19" t="str">
        <f t="shared" si="36"/>
        <v>rokwzgl=4 i lp=111100</v>
      </c>
      <c r="J111" s="19" t="str">
        <f t="shared" si="36"/>
        <v>rokwzgl=5 i lp=111100</v>
      </c>
      <c r="K111" s="19" t="str">
        <f t="shared" si="36"/>
        <v>rokwzgl=6 i lp=111100</v>
      </c>
      <c r="L111" s="19" t="str">
        <f t="shared" si="36"/>
        <v>rokwzgl=7 i lp=111100</v>
      </c>
      <c r="M111" s="19" t="str">
        <f t="shared" si="36"/>
        <v>rokwzgl=8 i lp=111100</v>
      </c>
      <c r="N111" s="19" t="str">
        <f t="shared" si="37"/>
        <v>rokwzgl=9 i lp=111100</v>
      </c>
      <c r="O111" s="19" t="str">
        <f t="shared" si="37"/>
        <v>rokwzgl=10 i lp=111100</v>
      </c>
      <c r="P111" s="19" t="str">
        <f t="shared" si="37"/>
        <v>rokwzgl=11 i lp=111100</v>
      </c>
      <c r="Q111" s="19" t="str">
        <f t="shared" si="37"/>
        <v>rokwzgl=12 i lp=111100</v>
      </c>
      <c r="R111" s="19" t="str">
        <f t="shared" si="37"/>
        <v>rokwzgl=13 i lp=111100</v>
      </c>
      <c r="S111" s="19" t="str">
        <f t="shared" si="37"/>
        <v>rokwzgl=14 i lp=111100</v>
      </c>
      <c r="T111" s="19" t="str">
        <f t="shared" si="37"/>
        <v>rokwzgl=15 i lp=111100</v>
      </c>
      <c r="U111" s="19" t="str">
        <f t="shared" si="37"/>
        <v>rokwzgl=16 i lp=111100</v>
      </c>
      <c r="V111" s="19" t="str">
        <f t="shared" si="37"/>
        <v>rokwzgl=17 i lp=111100</v>
      </c>
      <c r="W111" s="19" t="str">
        <f t="shared" si="37"/>
        <v>rokwzgl=18 i lp=111100</v>
      </c>
      <c r="X111" s="19" t="str">
        <f t="shared" si="35"/>
        <v>rokwzgl=19 i lp=111100</v>
      </c>
      <c r="Y111" s="19" t="str">
        <f t="shared" si="35"/>
        <v>rokwzgl=20 i lp=111100</v>
      </c>
      <c r="Z111" s="19" t="str">
        <f t="shared" si="35"/>
        <v>rokwzgl=21 i lp=111100</v>
      </c>
      <c r="AA111" s="19" t="str">
        <f t="shared" si="35"/>
        <v>rokwzgl=22 i lp=111100</v>
      </c>
      <c r="AB111" s="19" t="str">
        <f t="shared" si="35"/>
        <v>rokwzgl=23 i lp=111100</v>
      </c>
      <c r="AC111" s="19" t="str">
        <f t="shared" si="35"/>
        <v>rokwzgl=24 i lp=111100</v>
      </c>
      <c r="AD111" s="19" t="str">
        <f t="shared" si="35"/>
        <v>rokwzgl=25 i lp=111100</v>
      </c>
      <c r="AE111" s="19" t="str">
        <f t="shared" si="35"/>
        <v>rokwzgl=26 i lp=111100</v>
      </c>
      <c r="AF111" s="19" t="str">
        <f t="shared" si="35"/>
        <v>rokwzgl=27 i lp=111100</v>
      </c>
      <c r="AG111" s="19" t="str">
        <f t="shared" si="35"/>
        <v>rokwzgl=28 i lp=111100</v>
      </c>
      <c r="AH111" s="19" t="str">
        <f t="shared" si="35"/>
        <v>rokwzgl=29 i lp=111100</v>
      </c>
      <c r="AI111" s="19" t="str">
        <f t="shared" si="35"/>
        <v>rokwzgl=30 i lp=111100</v>
      </c>
      <c r="AJ111" s="19" t="str">
        <f t="shared" si="35"/>
        <v>rokwzgl=31 i lp=111100</v>
      </c>
      <c r="AK111" s="19" t="str">
        <f t="shared" si="35"/>
        <v>rokwzgl=32 i lp=111100</v>
      </c>
      <c r="AL111" s="19" t="str">
        <f t="shared" si="35"/>
        <v>rokwzgl=33 i lp=111100</v>
      </c>
      <c r="AM111" s="19" t="str">
        <f t="shared" si="35"/>
        <v>rokwzgl=34 i lp=111100</v>
      </c>
      <c r="AN111" s="19" t="str">
        <f t="shared" si="30"/>
        <v>rokwzgl=35 i lp=111100</v>
      </c>
      <c r="AO111" s="19" t="str">
        <f t="shared" si="30"/>
        <v>rokwzgl=36 i lp=111100</v>
      </c>
      <c r="AP111" s="19" t="str">
        <f t="shared" si="30"/>
        <v>rokwzgl=37 i lp=111100</v>
      </c>
      <c r="AQ111" s="19" t="str">
        <f t="shared" si="30"/>
        <v>rokwzgl=38 i lp=111100</v>
      </c>
      <c r="AR111" s="19" t="str">
        <f t="shared" si="30"/>
        <v>rokwzgl=39 i lp=111100</v>
      </c>
    </row>
    <row r="112" spans="1:44">
      <c r="A112" s="74">
        <v>112000</v>
      </c>
      <c r="B112" s="18" t="s">
        <v>72</v>
      </c>
      <c r="C112" s="19" t="s">
        <v>263</v>
      </c>
      <c r="D112" s="19" t="str">
        <f t="shared" si="36"/>
        <v>rokwzgl=0 i lp=112000</v>
      </c>
      <c r="E112" s="19" t="str">
        <f t="shared" si="36"/>
        <v>rokwzgl=0 i lp=112000</v>
      </c>
      <c r="F112" s="19" t="str">
        <f t="shared" si="36"/>
        <v>rokwzgl=1 i lp=112000</v>
      </c>
      <c r="G112" s="19" t="str">
        <f t="shared" si="36"/>
        <v>rokwzgl=2 i lp=112000</v>
      </c>
      <c r="H112" s="19" t="str">
        <f t="shared" si="36"/>
        <v>rokwzgl=3 i lp=112000</v>
      </c>
      <c r="I112" s="19" t="str">
        <f t="shared" si="36"/>
        <v>rokwzgl=4 i lp=112000</v>
      </c>
      <c r="J112" s="19" t="str">
        <f t="shared" si="36"/>
        <v>rokwzgl=5 i lp=112000</v>
      </c>
      <c r="K112" s="19" t="str">
        <f t="shared" si="36"/>
        <v>rokwzgl=6 i lp=112000</v>
      </c>
      <c r="L112" s="19" t="str">
        <f t="shared" si="36"/>
        <v>rokwzgl=7 i lp=112000</v>
      </c>
      <c r="M112" s="19" t="str">
        <f t="shared" si="36"/>
        <v>rokwzgl=8 i lp=112000</v>
      </c>
      <c r="N112" s="19" t="str">
        <f t="shared" si="37"/>
        <v>rokwzgl=9 i lp=112000</v>
      </c>
      <c r="O112" s="19" t="str">
        <f t="shared" si="37"/>
        <v>rokwzgl=10 i lp=112000</v>
      </c>
      <c r="P112" s="19" t="str">
        <f t="shared" si="37"/>
        <v>rokwzgl=11 i lp=112000</v>
      </c>
      <c r="Q112" s="19" t="str">
        <f t="shared" si="37"/>
        <v>rokwzgl=12 i lp=112000</v>
      </c>
      <c r="R112" s="19" t="str">
        <f t="shared" si="37"/>
        <v>rokwzgl=13 i lp=112000</v>
      </c>
      <c r="S112" s="19" t="str">
        <f t="shared" si="37"/>
        <v>rokwzgl=14 i lp=112000</v>
      </c>
      <c r="T112" s="19" t="str">
        <f t="shared" si="37"/>
        <v>rokwzgl=15 i lp=112000</v>
      </c>
      <c r="U112" s="19" t="str">
        <f t="shared" si="37"/>
        <v>rokwzgl=16 i lp=112000</v>
      </c>
      <c r="V112" s="19" t="str">
        <f t="shared" si="37"/>
        <v>rokwzgl=17 i lp=112000</v>
      </c>
      <c r="W112" s="19" t="str">
        <f t="shared" si="37"/>
        <v>rokwzgl=18 i lp=112000</v>
      </c>
      <c r="X112" s="19" t="str">
        <f t="shared" si="35"/>
        <v>rokwzgl=19 i lp=112000</v>
      </c>
      <c r="Y112" s="19" t="str">
        <f t="shared" si="35"/>
        <v>rokwzgl=20 i lp=112000</v>
      </c>
      <c r="Z112" s="19" t="str">
        <f t="shared" si="35"/>
        <v>rokwzgl=21 i lp=112000</v>
      </c>
      <c r="AA112" s="19" t="str">
        <f t="shared" si="35"/>
        <v>rokwzgl=22 i lp=112000</v>
      </c>
      <c r="AB112" s="19" t="str">
        <f t="shared" si="35"/>
        <v>rokwzgl=23 i lp=112000</v>
      </c>
      <c r="AC112" s="19" t="str">
        <f t="shared" si="35"/>
        <v>rokwzgl=24 i lp=112000</v>
      </c>
      <c r="AD112" s="19" t="str">
        <f t="shared" si="35"/>
        <v>rokwzgl=25 i lp=112000</v>
      </c>
      <c r="AE112" s="19" t="str">
        <f t="shared" si="35"/>
        <v>rokwzgl=26 i lp=112000</v>
      </c>
      <c r="AF112" s="19" t="str">
        <f t="shared" si="35"/>
        <v>rokwzgl=27 i lp=112000</v>
      </c>
      <c r="AG112" s="19" t="str">
        <f t="shared" si="35"/>
        <v>rokwzgl=28 i lp=112000</v>
      </c>
      <c r="AH112" s="19" t="str">
        <f t="shared" si="35"/>
        <v>rokwzgl=29 i lp=112000</v>
      </c>
      <c r="AI112" s="19" t="str">
        <f t="shared" si="35"/>
        <v>rokwzgl=30 i lp=112000</v>
      </c>
      <c r="AJ112" s="19" t="str">
        <f t="shared" si="35"/>
        <v>rokwzgl=31 i lp=112000</v>
      </c>
      <c r="AK112" s="19" t="str">
        <f t="shared" si="35"/>
        <v>rokwzgl=32 i lp=112000</v>
      </c>
      <c r="AL112" s="19" t="str">
        <f t="shared" si="35"/>
        <v>rokwzgl=33 i lp=112000</v>
      </c>
      <c r="AM112" s="19" t="str">
        <f t="shared" si="35"/>
        <v>rokwzgl=34 i lp=112000</v>
      </c>
      <c r="AN112" s="19" t="str">
        <f t="shared" si="30"/>
        <v>rokwzgl=35 i lp=112000</v>
      </c>
      <c r="AO112" s="19" t="str">
        <f t="shared" si="30"/>
        <v>rokwzgl=36 i lp=112000</v>
      </c>
      <c r="AP112" s="19" t="str">
        <f t="shared" si="30"/>
        <v>rokwzgl=37 i lp=112000</v>
      </c>
      <c r="AQ112" s="19" t="str">
        <f t="shared" si="30"/>
        <v>rokwzgl=38 i lp=112000</v>
      </c>
      <c r="AR112" s="19" t="str">
        <f t="shared" si="30"/>
        <v>rokwzgl=39 i lp=112000</v>
      </c>
    </row>
    <row r="113" spans="1:44">
      <c r="A113" s="74">
        <v>120000</v>
      </c>
      <c r="B113" s="18">
        <v>12</v>
      </c>
      <c r="C113" s="19" t="s">
        <v>264</v>
      </c>
      <c r="D113" s="19" t="str">
        <f t="shared" si="36"/>
        <v>rokwzgl=0 i lp=120000</v>
      </c>
      <c r="E113" s="19" t="str">
        <f t="shared" si="36"/>
        <v>rokwzgl=0 i lp=120000</v>
      </c>
      <c r="F113" s="19" t="str">
        <f t="shared" si="36"/>
        <v>rokwzgl=1 i lp=120000</v>
      </c>
      <c r="G113" s="19" t="str">
        <f t="shared" si="36"/>
        <v>rokwzgl=2 i lp=120000</v>
      </c>
      <c r="H113" s="19" t="str">
        <f t="shared" si="36"/>
        <v>rokwzgl=3 i lp=120000</v>
      </c>
      <c r="I113" s="19" t="str">
        <f t="shared" si="36"/>
        <v>rokwzgl=4 i lp=120000</v>
      </c>
      <c r="J113" s="19" t="str">
        <f t="shared" si="36"/>
        <v>rokwzgl=5 i lp=120000</v>
      </c>
      <c r="K113" s="19" t="str">
        <f t="shared" si="36"/>
        <v>rokwzgl=6 i lp=120000</v>
      </c>
      <c r="L113" s="19" t="str">
        <f t="shared" si="36"/>
        <v>rokwzgl=7 i lp=120000</v>
      </c>
      <c r="M113" s="19" t="str">
        <f t="shared" si="36"/>
        <v>rokwzgl=8 i lp=120000</v>
      </c>
      <c r="N113" s="19" t="str">
        <f t="shared" si="37"/>
        <v>rokwzgl=9 i lp=120000</v>
      </c>
      <c r="O113" s="19" t="str">
        <f t="shared" si="37"/>
        <v>rokwzgl=10 i lp=120000</v>
      </c>
      <c r="P113" s="19" t="str">
        <f t="shared" si="37"/>
        <v>rokwzgl=11 i lp=120000</v>
      </c>
      <c r="Q113" s="19" t="str">
        <f t="shared" si="37"/>
        <v>rokwzgl=12 i lp=120000</v>
      </c>
      <c r="R113" s="19" t="str">
        <f t="shared" si="37"/>
        <v>rokwzgl=13 i lp=120000</v>
      </c>
      <c r="S113" s="19" t="str">
        <f t="shared" si="37"/>
        <v>rokwzgl=14 i lp=120000</v>
      </c>
      <c r="T113" s="19" t="str">
        <f t="shared" si="37"/>
        <v>rokwzgl=15 i lp=120000</v>
      </c>
      <c r="U113" s="19" t="str">
        <f t="shared" si="37"/>
        <v>rokwzgl=16 i lp=120000</v>
      </c>
      <c r="V113" s="19" t="str">
        <f t="shared" si="37"/>
        <v>rokwzgl=17 i lp=120000</v>
      </c>
      <c r="W113" s="19" t="str">
        <f t="shared" si="37"/>
        <v>rokwzgl=18 i lp=120000</v>
      </c>
      <c r="X113" s="19" t="str">
        <f t="shared" si="35"/>
        <v>rokwzgl=19 i lp=120000</v>
      </c>
      <c r="Y113" s="19" t="str">
        <f t="shared" si="35"/>
        <v>rokwzgl=20 i lp=120000</v>
      </c>
      <c r="Z113" s="19" t="str">
        <f t="shared" si="35"/>
        <v>rokwzgl=21 i lp=120000</v>
      </c>
      <c r="AA113" s="19" t="str">
        <f t="shared" si="35"/>
        <v>rokwzgl=22 i lp=120000</v>
      </c>
      <c r="AB113" s="19" t="str">
        <f t="shared" si="35"/>
        <v>rokwzgl=23 i lp=120000</v>
      </c>
      <c r="AC113" s="19" t="str">
        <f t="shared" si="35"/>
        <v>rokwzgl=24 i lp=120000</v>
      </c>
      <c r="AD113" s="19" t="str">
        <f t="shared" si="35"/>
        <v>rokwzgl=25 i lp=120000</v>
      </c>
      <c r="AE113" s="19" t="str">
        <f t="shared" si="35"/>
        <v>rokwzgl=26 i lp=120000</v>
      </c>
      <c r="AF113" s="19" t="str">
        <f t="shared" si="35"/>
        <v>rokwzgl=27 i lp=120000</v>
      </c>
      <c r="AG113" s="19" t="str">
        <f t="shared" si="35"/>
        <v>rokwzgl=28 i lp=120000</v>
      </c>
      <c r="AH113" s="19" t="str">
        <f t="shared" si="35"/>
        <v>rokwzgl=29 i lp=120000</v>
      </c>
      <c r="AI113" s="19" t="str">
        <f t="shared" si="35"/>
        <v>rokwzgl=30 i lp=120000</v>
      </c>
      <c r="AJ113" s="19" t="str">
        <f t="shared" si="35"/>
        <v>rokwzgl=31 i lp=120000</v>
      </c>
      <c r="AK113" s="19" t="str">
        <f t="shared" si="35"/>
        <v>rokwzgl=32 i lp=120000</v>
      </c>
      <c r="AL113" s="19" t="str">
        <f t="shared" si="35"/>
        <v>rokwzgl=33 i lp=120000</v>
      </c>
      <c r="AM113" s="19" t="str">
        <f t="shared" si="35"/>
        <v>rokwzgl=34 i lp=120000</v>
      </c>
      <c r="AN113" s="19" t="str">
        <f t="shared" si="30"/>
        <v>rokwzgl=35 i lp=120000</v>
      </c>
      <c r="AO113" s="19" t="str">
        <f t="shared" si="30"/>
        <v>rokwzgl=36 i lp=120000</v>
      </c>
      <c r="AP113" s="19" t="str">
        <f t="shared" si="30"/>
        <v>rokwzgl=37 i lp=120000</v>
      </c>
      <c r="AQ113" s="19" t="str">
        <f t="shared" si="30"/>
        <v>rokwzgl=38 i lp=120000</v>
      </c>
      <c r="AR113" s="19" t="str">
        <f t="shared" si="30"/>
        <v>rokwzgl=39 i lp=120000</v>
      </c>
    </row>
    <row r="114" spans="1:44">
      <c r="A114" s="74">
        <v>121000</v>
      </c>
      <c r="B114" s="18" t="s">
        <v>73</v>
      </c>
      <c r="C114" s="19" t="s">
        <v>265</v>
      </c>
      <c r="D114" s="19" t="str">
        <f t="shared" si="36"/>
        <v>rokwzgl=0 i lp=121000</v>
      </c>
      <c r="E114" s="19" t="str">
        <f t="shared" si="36"/>
        <v>rokwzgl=0 i lp=121000</v>
      </c>
      <c r="F114" s="19" t="str">
        <f t="shared" si="36"/>
        <v>rokwzgl=1 i lp=121000</v>
      </c>
      <c r="G114" s="19" t="str">
        <f t="shared" si="36"/>
        <v>rokwzgl=2 i lp=121000</v>
      </c>
      <c r="H114" s="19" t="str">
        <f t="shared" si="36"/>
        <v>rokwzgl=3 i lp=121000</v>
      </c>
      <c r="I114" s="19" t="str">
        <f t="shared" si="36"/>
        <v>rokwzgl=4 i lp=121000</v>
      </c>
      <c r="J114" s="19" t="str">
        <f t="shared" si="36"/>
        <v>rokwzgl=5 i lp=121000</v>
      </c>
      <c r="K114" s="19" t="str">
        <f t="shared" si="36"/>
        <v>rokwzgl=6 i lp=121000</v>
      </c>
      <c r="L114" s="19" t="str">
        <f t="shared" si="36"/>
        <v>rokwzgl=7 i lp=121000</v>
      </c>
      <c r="M114" s="19" t="str">
        <f t="shared" si="36"/>
        <v>rokwzgl=8 i lp=121000</v>
      </c>
      <c r="N114" s="19" t="str">
        <f t="shared" si="37"/>
        <v>rokwzgl=9 i lp=121000</v>
      </c>
      <c r="O114" s="19" t="str">
        <f t="shared" si="37"/>
        <v>rokwzgl=10 i lp=121000</v>
      </c>
      <c r="P114" s="19" t="str">
        <f t="shared" si="37"/>
        <v>rokwzgl=11 i lp=121000</v>
      </c>
      <c r="Q114" s="19" t="str">
        <f t="shared" si="37"/>
        <v>rokwzgl=12 i lp=121000</v>
      </c>
      <c r="R114" s="19" t="str">
        <f t="shared" si="37"/>
        <v>rokwzgl=13 i lp=121000</v>
      </c>
      <c r="S114" s="19" t="str">
        <f t="shared" si="37"/>
        <v>rokwzgl=14 i lp=121000</v>
      </c>
      <c r="T114" s="19" t="str">
        <f t="shared" si="37"/>
        <v>rokwzgl=15 i lp=121000</v>
      </c>
      <c r="U114" s="19" t="str">
        <f t="shared" si="37"/>
        <v>rokwzgl=16 i lp=121000</v>
      </c>
      <c r="V114" s="19" t="str">
        <f t="shared" si="37"/>
        <v>rokwzgl=17 i lp=121000</v>
      </c>
      <c r="W114" s="19" t="str">
        <f t="shared" si="37"/>
        <v>rokwzgl=18 i lp=121000</v>
      </c>
      <c r="X114" s="19" t="str">
        <f t="shared" si="35"/>
        <v>rokwzgl=19 i lp=121000</v>
      </c>
      <c r="Y114" s="19" t="str">
        <f t="shared" si="35"/>
        <v>rokwzgl=20 i lp=121000</v>
      </c>
      <c r="Z114" s="19" t="str">
        <f t="shared" si="35"/>
        <v>rokwzgl=21 i lp=121000</v>
      </c>
      <c r="AA114" s="19" t="str">
        <f t="shared" si="35"/>
        <v>rokwzgl=22 i lp=121000</v>
      </c>
      <c r="AB114" s="19" t="str">
        <f t="shared" si="35"/>
        <v>rokwzgl=23 i lp=121000</v>
      </c>
      <c r="AC114" s="19" t="str">
        <f t="shared" si="35"/>
        <v>rokwzgl=24 i lp=121000</v>
      </c>
      <c r="AD114" s="19" t="str">
        <f t="shared" si="35"/>
        <v>rokwzgl=25 i lp=121000</v>
      </c>
      <c r="AE114" s="19" t="str">
        <f t="shared" si="35"/>
        <v>rokwzgl=26 i lp=121000</v>
      </c>
      <c r="AF114" s="19" t="str">
        <f t="shared" si="35"/>
        <v>rokwzgl=27 i lp=121000</v>
      </c>
      <c r="AG114" s="19" t="str">
        <f t="shared" si="35"/>
        <v>rokwzgl=28 i lp=121000</v>
      </c>
      <c r="AH114" s="19" t="str">
        <f t="shared" si="35"/>
        <v>rokwzgl=29 i lp=121000</v>
      </c>
      <c r="AI114" s="19" t="str">
        <f t="shared" si="35"/>
        <v>rokwzgl=30 i lp=121000</v>
      </c>
      <c r="AJ114" s="19" t="str">
        <f t="shared" si="35"/>
        <v>rokwzgl=31 i lp=121000</v>
      </c>
      <c r="AK114" s="19" t="str">
        <f t="shared" si="35"/>
        <v>rokwzgl=32 i lp=121000</v>
      </c>
      <c r="AL114" s="19" t="str">
        <f t="shared" si="35"/>
        <v>rokwzgl=33 i lp=121000</v>
      </c>
      <c r="AM114" s="19" t="str">
        <f t="shared" si="35"/>
        <v>rokwzgl=34 i lp=121000</v>
      </c>
      <c r="AN114" s="19" t="str">
        <f t="shared" si="30"/>
        <v>rokwzgl=35 i lp=121000</v>
      </c>
      <c r="AO114" s="19" t="str">
        <f t="shared" si="30"/>
        <v>rokwzgl=36 i lp=121000</v>
      </c>
      <c r="AP114" s="19" t="str">
        <f t="shared" si="30"/>
        <v>rokwzgl=37 i lp=121000</v>
      </c>
      <c r="AQ114" s="19" t="str">
        <f t="shared" si="30"/>
        <v>rokwzgl=38 i lp=121000</v>
      </c>
      <c r="AR114" s="19" t="str">
        <f t="shared" si="30"/>
        <v>rokwzgl=39 i lp=121000</v>
      </c>
    </row>
    <row r="115" spans="1:44">
      <c r="A115" s="74">
        <v>122000</v>
      </c>
      <c r="B115" s="18" t="s">
        <v>74</v>
      </c>
      <c r="C115" s="19" t="s">
        <v>266</v>
      </c>
      <c r="D115" s="19" t="str">
        <f t="shared" si="36"/>
        <v>rokwzgl=0 i lp=122000</v>
      </c>
      <c r="E115" s="19" t="str">
        <f t="shared" si="36"/>
        <v>rokwzgl=0 i lp=122000</v>
      </c>
      <c r="F115" s="19" t="str">
        <f t="shared" si="36"/>
        <v>rokwzgl=1 i lp=122000</v>
      </c>
      <c r="G115" s="19" t="str">
        <f t="shared" si="36"/>
        <v>rokwzgl=2 i lp=122000</v>
      </c>
      <c r="H115" s="19" t="str">
        <f t="shared" si="36"/>
        <v>rokwzgl=3 i lp=122000</v>
      </c>
      <c r="I115" s="19" t="str">
        <f t="shared" si="36"/>
        <v>rokwzgl=4 i lp=122000</v>
      </c>
      <c r="J115" s="19" t="str">
        <f t="shared" si="36"/>
        <v>rokwzgl=5 i lp=122000</v>
      </c>
      <c r="K115" s="19" t="str">
        <f t="shared" si="36"/>
        <v>rokwzgl=6 i lp=122000</v>
      </c>
      <c r="L115" s="19" t="str">
        <f t="shared" si="36"/>
        <v>rokwzgl=7 i lp=122000</v>
      </c>
      <c r="M115" s="19" t="str">
        <f t="shared" si="36"/>
        <v>rokwzgl=8 i lp=122000</v>
      </c>
      <c r="N115" s="19" t="str">
        <f t="shared" si="37"/>
        <v>rokwzgl=9 i lp=122000</v>
      </c>
      <c r="O115" s="19" t="str">
        <f t="shared" si="37"/>
        <v>rokwzgl=10 i lp=122000</v>
      </c>
      <c r="P115" s="19" t="str">
        <f t="shared" si="37"/>
        <v>rokwzgl=11 i lp=122000</v>
      </c>
      <c r="Q115" s="19" t="str">
        <f t="shared" si="37"/>
        <v>rokwzgl=12 i lp=122000</v>
      </c>
      <c r="R115" s="19" t="str">
        <f t="shared" si="37"/>
        <v>rokwzgl=13 i lp=122000</v>
      </c>
      <c r="S115" s="19" t="str">
        <f t="shared" si="37"/>
        <v>rokwzgl=14 i lp=122000</v>
      </c>
      <c r="T115" s="19" t="str">
        <f t="shared" si="37"/>
        <v>rokwzgl=15 i lp=122000</v>
      </c>
      <c r="U115" s="19" t="str">
        <f t="shared" si="37"/>
        <v>rokwzgl=16 i lp=122000</v>
      </c>
      <c r="V115" s="19" t="str">
        <f t="shared" si="37"/>
        <v>rokwzgl=17 i lp=122000</v>
      </c>
      <c r="W115" s="19" t="str">
        <f t="shared" si="37"/>
        <v>rokwzgl=18 i lp=122000</v>
      </c>
      <c r="X115" s="19" t="str">
        <f t="shared" si="35"/>
        <v>rokwzgl=19 i lp=122000</v>
      </c>
      <c r="Y115" s="19" t="str">
        <f t="shared" si="35"/>
        <v>rokwzgl=20 i lp=122000</v>
      </c>
      <c r="Z115" s="19" t="str">
        <f t="shared" si="35"/>
        <v>rokwzgl=21 i lp=122000</v>
      </c>
      <c r="AA115" s="19" t="str">
        <f t="shared" si="35"/>
        <v>rokwzgl=22 i lp=122000</v>
      </c>
      <c r="AB115" s="19" t="str">
        <f t="shared" si="35"/>
        <v>rokwzgl=23 i lp=122000</v>
      </c>
      <c r="AC115" s="19" t="str">
        <f t="shared" si="35"/>
        <v>rokwzgl=24 i lp=122000</v>
      </c>
      <c r="AD115" s="19" t="str">
        <f t="shared" ref="X115:AM116" si="38">+"rokwzgl="&amp;AD$9&amp;" i lp="&amp;$A115</f>
        <v>rokwzgl=25 i lp=122000</v>
      </c>
      <c r="AE115" s="19" t="str">
        <f t="shared" si="38"/>
        <v>rokwzgl=26 i lp=122000</v>
      </c>
      <c r="AF115" s="19" t="str">
        <f t="shared" si="38"/>
        <v>rokwzgl=27 i lp=122000</v>
      </c>
      <c r="AG115" s="19" t="str">
        <f t="shared" si="38"/>
        <v>rokwzgl=28 i lp=122000</v>
      </c>
      <c r="AH115" s="19" t="str">
        <f t="shared" si="38"/>
        <v>rokwzgl=29 i lp=122000</v>
      </c>
      <c r="AI115" s="19" t="str">
        <f t="shared" si="38"/>
        <v>rokwzgl=30 i lp=122000</v>
      </c>
      <c r="AJ115" s="19" t="str">
        <f t="shared" si="38"/>
        <v>rokwzgl=31 i lp=122000</v>
      </c>
      <c r="AK115" s="19" t="str">
        <f t="shared" si="38"/>
        <v>rokwzgl=32 i lp=122000</v>
      </c>
      <c r="AL115" s="19" t="str">
        <f t="shared" si="38"/>
        <v>rokwzgl=33 i lp=122000</v>
      </c>
      <c r="AM115" s="19" t="str">
        <f t="shared" si="38"/>
        <v>rokwzgl=34 i lp=122000</v>
      </c>
      <c r="AN115" s="19" t="str">
        <f t="shared" si="30"/>
        <v>rokwzgl=35 i lp=122000</v>
      </c>
      <c r="AO115" s="19" t="str">
        <f t="shared" si="30"/>
        <v>rokwzgl=36 i lp=122000</v>
      </c>
      <c r="AP115" s="19" t="str">
        <f t="shared" si="30"/>
        <v>rokwzgl=37 i lp=122000</v>
      </c>
      <c r="AQ115" s="19" t="str">
        <f t="shared" si="30"/>
        <v>rokwzgl=38 i lp=122000</v>
      </c>
      <c r="AR115" s="19" t="str">
        <f t="shared" si="30"/>
        <v>rokwzgl=39 i lp=122000</v>
      </c>
    </row>
    <row r="116" spans="1:44">
      <c r="A116" s="74">
        <v>123000</v>
      </c>
      <c r="B116" s="18" t="s">
        <v>75</v>
      </c>
      <c r="C116" s="19" t="s">
        <v>267</v>
      </c>
      <c r="D116" s="19" t="str">
        <f t="shared" si="36"/>
        <v>rokwzgl=0 i lp=123000</v>
      </c>
      <c r="E116" s="19" t="str">
        <f t="shared" si="36"/>
        <v>rokwzgl=0 i lp=123000</v>
      </c>
      <c r="F116" s="19" t="str">
        <f t="shared" si="36"/>
        <v>rokwzgl=1 i lp=123000</v>
      </c>
      <c r="G116" s="19" t="str">
        <f t="shared" si="36"/>
        <v>rokwzgl=2 i lp=123000</v>
      </c>
      <c r="H116" s="19" t="str">
        <f t="shared" si="36"/>
        <v>rokwzgl=3 i lp=123000</v>
      </c>
      <c r="I116" s="19" t="str">
        <f t="shared" si="36"/>
        <v>rokwzgl=4 i lp=123000</v>
      </c>
      <c r="J116" s="19" t="str">
        <f t="shared" si="36"/>
        <v>rokwzgl=5 i lp=123000</v>
      </c>
      <c r="K116" s="19" t="str">
        <f t="shared" si="36"/>
        <v>rokwzgl=6 i lp=123000</v>
      </c>
      <c r="L116" s="19" t="str">
        <f t="shared" si="36"/>
        <v>rokwzgl=7 i lp=123000</v>
      </c>
      <c r="M116" s="19" t="str">
        <f t="shared" si="36"/>
        <v>rokwzgl=8 i lp=123000</v>
      </c>
      <c r="N116" s="19" t="str">
        <f t="shared" si="37"/>
        <v>rokwzgl=9 i lp=123000</v>
      </c>
      <c r="O116" s="19" t="str">
        <f t="shared" si="37"/>
        <v>rokwzgl=10 i lp=123000</v>
      </c>
      <c r="P116" s="19" t="str">
        <f t="shared" si="37"/>
        <v>rokwzgl=11 i lp=123000</v>
      </c>
      <c r="Q116" s="19" t="str">
        <f t="shared" si="37"/>
        <v>rokwzgl=12 i lp=123000</v>
      </c>
      <c r="R116" s="19" t="str">
        <f t="shared" si="37"/>
        <v>rokwzgl=13 i lp=123000</v>
      </c>
      <c r="S116" s="19" t="str">
        <f t="shared" si="37"/>
        <v>rokwzgl=14 i lp=123000</v>
      </c>
      <c r="T116" s="19" t="str">
        <f t="shared" si="37"/>
        <v>rokwzgl=15 i lp=123000</v>
      </c>
      <c r="U116" s="19" t="str">
        <f t="shared" si="37"/>
        <v>rokwzgl=16 i lp=123000</v>
      </c>
      <c r="V116" s="19" t="str">
        <f t="shared" si="37"/>
        <v>rokwzgl=17 i lp=123000</v>
      </c>
      <c r="W116" s="19" t="str">
        <f t="shared" si="37"/>
        <v>rokwzgl=18 i lp=123000</v>
      </c>
      <c r="X116" s="19" t="str">
        <f t="shared" si="38"/>
        <v>rokwzgl=19 i lp=123000</v>
      </c>
      <c r="Y116" s="19" t="str">
        <f t="shared" si="38"/>
        <v>rokwzgl=20 i lp=123000</v>
      </c>
      <c r="Z116" s="19" t="str">
        <f t="shared" si="38"/>
        <v>rokwzgl=21 i lp=123000</v>
      </c>
      <c r="AA116" s="19" t="str">
        <f t="shared" si="38"/>
        <v>rokwzgl=22 i lp=123000</v>
      </c>
      <c r="AB116" s="19" t="str">
        <f t="shared" si="38"/>
        <v>rokwzgl=23 i lp=123000</v>
      </c>
      <c r="AC116" s="19" t="str">
        <f t="shared" si="38"/>
        <v>rokwzgl=24 i lp=123000</v>
      </c>
      <c r="AD116" s="19" t="str">
        <f t="shared" si="38"/>
        <v>rokwzgl=25 i lp=123000</v>
      </c>
      <c r="AE116" s="19" t="str">
        <f t="shared" si="38"/>
        <v>rokwzgl=26 i lp=123000</v>
      </c>
      <c r="AF116" s="19" t="str">
        <f t="shared" si="38"/>
        <v>rokwzgl=27 i lp=123000</v>
      </c>
      <c r="AG116" s="19" t="str">
        <f t="shared" si="38"/>
        <v>rokwzgl=28 i lp=123000</v>
      </c>
      <c r="AH116" s="19" t="str">
        <f t="shared" si="38"/>
        <v>rokwzgl=29 i lp=123000</v>
      </c>
      <c r="AI116" s="19" t="str">
        <f t="shared" si="38"/>
        <v>rokwzgl=30 i lp=123000</v>
      </c>
      <c r="AJ116" s="19" t="str">
        <f t="shared" si="38"/>
        <v>rokwzgl=31 i lp=123000</v>
      </c>
      <c r="AK116" s="19" t="str">
        <f t="shared" si="38"/>
        <v>rokwzgl=32 i lp=123000</v>
      </c>
      <c r="AL116" s="19" t="str">
        <f t="shared" si="38"/>
        <v>rokwzgl=33 i lp=123000</v>
      </c>
      <c r="AM116" s="19" t="str">
        <f t="shared" si="38"/>
        <v>rokwzgl=34 i lp=123000</v>
      </c>
      <c r="AN116" s="19" t="str">
        <f t="shared" si="30"/>
        <v>rokwzgl=35 i lp=123000</v>
      </c>
      <c r="AO116" s="19" t="str">
        <f t="shared" si="30"/>
        <v>rokwzgl=36 i lp=123000</v>
      </c>
      <c r="AP116" s="19" t="str">
        <f t="shared" si="30"/>
        <v>rokwzgl=37 i lp=123000</v>
      </c>
      <c r="AQ116" s="19" t="str">
        <f t="shared" si="30"/>
        <v>rokwzgl=38 i lp=123000</v>
      </c>
      <c r="AR116" s="19" t="str">
        <f t="shared" si="30"/>
        <v>rokwzgl=39 i lp=123000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C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0" sqref="C20"/>
    </sheetView>
  </sheetViews>
  <sheetFormatPr defaultColWidth="8.75" defaultRowHeight="16.5"/>
  <cols>
    <col min="1" max="1" width="11.25" style="225" customWidth="1"/>
    <col min="2" max="2" width="12.25" style="225" customWidth="1"/>
    <col min="3" max="3" width="95.375" style="223" customWidth="1"/>
    <col min="4" max="16384" width="8.75" style="246"/>
  </cols>
  <sheetData>
    <row r="1" spans="1:3">
      <c r="A1" s="226" t="s">
        <v>522</v>
      </c>
      <c r="B1" s="226" t="s">
        <v>523</v>
      </c>
      <c r="C1" s="228" t="s">
        <v>524</v>
      </c>
    </row>
    <row r="2" spans="1:3">
      <c r="A2" s="227">
        <v>43809</v>
      </c>
      <c r="B2" s="225" t="s">
        <v>525</v>
      </c>
      <c r="C2" s="223" t="s">
        <v>526</v>
      </c>
    </row>
    <row r="3" spans="1:3">
      <c r="A3" s="227">
        <v>43829</v>
      </c>
      <c r="B3" s="225" t="s">
        <v>553</v>
      </c>
      <c r="C3" s="223" t="s">
        <v>554</v>
      </c>
    </row>
    <row r="4" spans="1:3">
      <c r="A4" s="227">
        <v>43879</v>
      </c>
      <c r="B4" s="227" t="s">
        <v>558</v>
      </c>
      <c r="C4" s="223" t="s">
        <v>526</v>
      </c>
    </row>
    <row r="5" spans="1:3">
      <c r="A5" s="227">
        <v>43971</v>
      </c>
      <c r="B5" s="227" t="s">
        <v>561</v>
      </c>
      <c r="C5" s="223" t="s">
        <v>568</v>
      </c>
    </row>
    <row r="6" spans="1:3" ht="33">
      <c r="A6" s="227">
        <v>43971</v>
      </c>
      <c r="B6" s="227" t="s">
        <v>561</v>
      </c>
      <c r="C6" s="223" t="s">
        <v>562</v>
      </c>
    </row>
    <row r="7" spans="1:3" ht="33">
      <c r="A7" s="227">
        <v>44057</v>
      </c>
      <c r="B7" s="225" t="s">
        <v>666</v>
      </c>
      <c r="C7" s="223" t="s">
        <v>669</v>
      </c>
    </row>
    <row r="8" spans="1:3">
      <c r="A8" s="227">
        <v>44057</v>
      </c>
      <c r="B8" s="225" t="s">
        <v>666</v>
      </c>
      <c r="C8" s="223" t="s">
        <v>668</v>
      </c>
    </row>
    <row r="9" spans="1:3">
      <c r="A9" s="227">
        <v>44075</v>
      </c>
      <c r="B9" s="225" t="s">
        <v>674</v>
      </c>
      <c r="C9" s="223" t="s">
        <v>675</v>
      </c>
    </row>
    <row r="10" spans="1:3">
      <c r="A10" s="227">
        <v>44075</v>
      </c>
      <c r="B10" s="225" t="s">
        <v>696</v>
      </c>
      <c r="C10" s="223" t="s">
        <v>697</v>
      </c>
    </row>
    <row r="11" spans="1:3" ht="33">
      <c r="A11" s="227">
        <v>44125</v>
      </c>
      <c r="B11" s="225" t="s">
        <v>694</v>
      </c>
      <c r="C11" s="223" t="s">
        <v>698</v>
      </c>
    </row>
    <row r="12" spans="1:3">
      <c r="A12" s="227">
        <v>44438</v>
      </c>
      <c r="B12" s="227" t="s">
        <v>704</v>
      </c>
      <c r="C12" s="223" t="s">
        <v>701</v>
      </c>
    </row>
    <row r="13" spans="1:3" ht="33">
      <c r="A13" s="227">
        <v>44438</v>
      </c>
      <c r="B13" s="227" t="s">
        <v>704</v>
      </c>
      <c r="C13" s="223" t="s">
        <v>707</v>
      </c>
    </row>
    <row r="14" spans="1:3">
      <c r="A14" s="227">
        <v>44438</v>
      </c>
      <c r="B14" s="227" t="s">
        <v>704</v>
      </c>
      <c r="C14" s="223" t="s">
        <v>709</v>
      </c>
    </row>
    <row r="15" spans="1:3" ht="33">
      <c r="A15" s="227">
        <v>44514</v>
      </c>
      <c r="B15" s="225" t="s">
        <v>728</v>
      </c>
      <c r="C15" s="223" t="s">
        <v>727</v>
      </c>
    </row>
    <row r="16" spans="1:3">
      <c r="A16" s="227">
        <v>44522</v>
      </c>
      <c r="B16" s="225" t="s">
        <v>729</v>
      </c>
      <c r="C16" s="223" t="s">
        <v>730</v>
      </c>
    </row>
    <row r="17" spans="1:3">
      <c r="A17" s="227">
        <v>44537</v>
      </c>
      <c r="B17" s="225" t="s">
        <v>746</v>
      </c>
      <c r="C17" s="223" t="s">
        <v>747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/>
  <dimension ref="A1:Q1290"/>
  <sheetViews>
    <sheetView topLeftCell="C1" workbookViewId="0">
      <pane ySplit="6" topLeftCell="A7" activePane="bottomLeft" state="frozen"/>
      <selection activeCell="N3" sqref="M3:N3"/>
      <selection pane="bottomLeft" activeCell="Q7" sqref="Q7:Q1290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7.125" customWidth="1"/>
    <col min="12" max="12" width="9" style="57" customWidth="1"/>
    <col min="14" max="14" width="16.875" customWidth="1"/>
    <col min="17" max="17" width="10.75" customWidth="1"/>
  </cols>
  <sheetData>
    <row r="1" spans="1:17" ht="15">
      <c r="A1" s="3" t="s">
        <v>22</v>
      </c>
      <c r="M1" s="300" t="s">
        <v>454</v>
      </c>
      <c r="N1" s="297">
        <f>MIN(M:M)</f>
        <v>2022</v>
      </c>
    </row>
    <row r="2" spans="1:17" s="246" customFormat="1" ht="15">
      <c r="A2" s="247"/>
      <c r="M2" s="300" t="s">
        <v>453</v>
      </c>
      <c r="N2" s="299">
        <f>MAX(M:M)</f>
        <v>2033</v>
      </c>
      <c r="P2" s="194"/>
    </row>
    <row r="3" spans="1:17" s="246" customFormat="1" ht="15">
      <c r="A3" s="247"/>
      <c r="M3" s="300" t="s">
        <v>688</v>
      </c>
      <c r="N3" s="496" t="str">
        <f>+"0BF9"</f>
        <v>0BF9</v>
      </c>
      <c r="O3" s="298" t="str">
        <f>+IF(ISERROR(VLOOKUP($N$3,definicja!$F$2:$I$4,3,FALSE)),"nieznany wzór WPF",VLOOKUP($N$3,definicja!$F$2:$I$4,3,FALSE))</f>
        <v>poz. 8.3/8.3.1 wg wybranego typu średniej</v>
      </c>
      <c r="P3" s="194"/>
    </row>
    <row r="4" spans="1:17">
      <c r="M4" s="300" t="s">
        <v>714</v>
      </c>
      <c r="N4" s="496">
        <f>1</f>
        <v>1</v>
      </c>
      <c r="O4" s="298" t="str">
        <f>+IF(ISERROR(VLOOKUP($N$3,definicja!$F$2:$I$4,3,FALSE)),"nieznany wzór WPF",VLOOKUP($N$3,definicja!$F$2:$I$4,2,FALSE))</f>
        <v>DU 2020.1381/2021.1927</v>
      </c>
    </row>
    <row r="5" spans="1:17" s="246" customFormat="1">
      <c r="O5" s="298"/>
    </row>
    <row r="6" spans="1:17" ht="15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166</v>
      </c>
      <c r="M6" s="5" t="s">
        <v>13</v>
      </c>
      <c r="N6" s="5" t="s">
        <v>14</v>
      </c>
      <c r="O6" s="5" t="s">
        <v>17</v>
      </c>
      <c r="P6" s="5" t="s">
        <v>18</v>
      </c>
      <c r="Q6" s="5" t="s">
        <v>180</v>
      </c>
    </row>
    <row r="7" spans="1:17" ht="16.5">
      <c r="A7" s="9">
        <v>2022</v>
      </c>
      <c r="B7" s="10" t="s">
        <v>748</v>
      </c>
      <c r="C7" s="511" t="s">
        <v>749</v>
      </c>
      <c r="D7" s="512">
        <v>218000</v>
      </c>
      <c r="E7" s="512">
        <v>0</v>
      </c>
      <c r="F7" s="512"/>
      <c r="G7" s="512">
        <v>51132</v>
      </c>
      <c r="H7" s="512" t="s">
        <v>275</v>
      </c>
      <c r="I7" s="512"/>
      <c r="J7" s="512" t="s">
        <v>216</v>
      </c>
      <c r="K7" s="512" t="b">
        <v>1</v>
      </c>
      <c r="L7" s="512">
        <v>6</v>
      </c>
      <c r="M7" s="513">
        <v>2028</v>
      </c>
      <c r="N7" s="514">
        <v>0</v>
      </c>
      <c r="O7" s="515">
        <v>44620</v>
      </c>
      <c r="P7" s="515">
        <v>44620</v>
      </c>
      <c r="Q7" s="516">
        <v>0</v>
      </c>
    </row>
    <row r="8" spans="1:17" ht="16.5">
      <c r="A8" s="9">
        <v>2022</v>
      </c>
      <c r="B8" s="10" t="s">
        <v>748</v>
      </c>
      <c r="C8" s="511" t="s">
        <v>749</v>
      </c>
      <c r="D8" s="512">
        <v>218000</v>
      </c>
      <c r="E8" s="512">
        <v>0</v>
      </c>
      <c r="F8" s="512"/>
      <c r="G8" s="512">
        <v>51132</v>
      </c>
      <c r="H8" s="512" t="s">
        <v>275</v>
      </c>
      <c r="I8" s="512"/>
      <c r="J8" s="512" t="s">
        <v>216</v>
      </c>
      <c r="K8" s="512" t="b">
        <v>1</v>
      </c>
      <c r="L8" s="512">
        <v>1</v>
      </c>
      <c r="M8" s="513">
        <v>2023</v>
      </c>
      <c r="N8" s="514">
        <v>0</v>
      </c>
      <c r="O8" s="515">
        <v>44620</v>
      </c>
      <c r="P8" s="515">
        <v>44620</v>
      </c>
      <c r="Q8" s="516">
        <v>0</v>
      </c>
    </row>
    <row r="9" spans="1:17" ht="16.5">
      <c r="A9" s="9">
        <v>2022</v>
      </c>
      <c r="B9" s="10" t="s">
        <v>748</v>
      </c>
      <c r="C9" s="511" t="s">
        <v>749</v>
      </c>
      <c r="D9" s="512">
        <v>218000</v>
      </c>
      <c r="E9" s="512">
        <v>0</v>
      </c>
      <c r="F9" s="512"/>
      <c r="G9" s="512">
        <v>51132</v>
      </c>
      <c r="H9" s="512" t="s">
        <v>275</v>
      </c>
      <c r="I9" s="512"/>
      <c r="J9" s="512" t="s">
        <v>216</v>
      </c>
      <c r="K9" s="512" t="b">
        <v>1</v>
      </c>
      <c r="L9" s="512">
        <v>2</v>
      </c>
      <c r="M9" s="513">
        <v>2024</v>
      </c>
      <c r="N9" s="514">
        <v>0</v>
      </c>
      <c r="O9" s="515">
        <v>44620</v>
      </c>
      <c r="P9" s="515">
        <v>44620</v>
      </c>
      <c r="Q9" s="516">
        <v>0</v>
      </c>
    </row>
    <row r="10" spans="1:17" ht="16.5">
      <c r="A10" s="9">
        <v>2022</v>
      </c>
      <c r="B10" s="10" t="s">
        <v>748</v>
      </c>
      <c r="C10" s="511" t="s">
        <v>749</v>
      </c>
      <c r="D10" s="512">
        <v>218000</v>
      </c>
      <c r="E10" s="512">
        <v>0</v>
      </c>
      <c r="F10" s="512"/>
      <c r="G10" s="512">
        <v>51132</v>
      </c>
      <c r="H10" s="512" t="s">
        <v>275</v>
      </c>
      <c r="I10" s="512"/>
      <c r="J10" s="512" t="s">
        <v>216</v>
      </c>
      <c r="K10" s="512" t="b">
        <v>1</v>
      </c>
      <c r="L10" s="512">
        <v>11</v>
      </c>
      <c r="M10" s="513">
        <v>2033</v>
      </c>
      <c r="N10" s="514">
        <v>0</v>
      </c>
      <c r="O10" s="515">
        <v>44620</v>
      </c>
      <c r="P10" s="515">
        <v>44620</v>
      </c>
      <c r="Q10" s="516">
        <v>0</v>
      </c>
    </row>
    <row r="11" spans="1:17" ht="16.5">
      <c r="A11" s="9">
        <v>2022</v>
      </c>
      <c r="B11" s="10" t="s">
        <v>748</v>
      </c>
      <c r="C11" s="511" t="s">
        <v>749</v>
      </c>
      <c r="D11" s="512">
        <v>218000</v>
      </c>
      <c r="E11" s="512">
        <v>0</v>
      </c>
      <c r="F11" s="512"/>
      <c r="G11" s="512">
        <v>51132</v>
      </c>
      <c r="H11" s="512" t="s">
        <v>275</v>
      </c>
      <c r="I11" s="512"/>
      <c r="J11" s="512" t="s">
        <v>216</v>
      </c>
      <c r="K11" s="512" t="b">
        <v>1</v>
      </c>
      <c r="L11" s="512">
        <v>8</v>
      </c>
      <c r="M11" s="513">
        <v>2030</v>
      </c>
      <c r="N11" s="514">
        <v>0</v>
      </c>
      <c r="O11" s="515">
        <v>44620</v>
      </c>
      <c r="P11" s="515">
        <v>44620</v>
      </c>
      <c r="Q11" s="516">
        <v>0</v>
      </c>
    </row>
    <row r="12" spans="1:17" ht="16.5">
      <c r="A12" s="9">
        <v>2022</v>
      </c>
      <c r="B12" s="10" t="s">
        <v>748</v>
      </c>
      <c r="C12" s="511" t="s">
        <v>749</v>
      </c>
      <c r="D12" s="512">
        <v>218000</v>
      </c>
      <c r="E12" s="512">
        <v>0</v>
      </c>
      <c r="F12" s="512"/>
      <c r="G12" s="512">
        <v>51132</v>
      </c>
      <c r="H12" s="512" t="s">
        <v>275</v>
      </c>
      <c r="I12" s="512"/>
      <c r="J12" s="512" t="s">
        <v>216</v>
      </c>
      <c r="K12" s="512" t="b">
        <v>1</v>
      </c>
      <c r="L12" s="512">
        <v>0</v>
      </c>
      <c r="M12" s="513">
        <v>2022</v>
      </c>
      <c r="N12" s="514">
        <v>0</v>
      </c>
      <c r="O12" s="515">
        <v>44620</v>
      </c>
      <c r="P12" s="515">
        <v>44620</v>
      </c>
      <c r="Q12" s="516">
        <v>0</v>
      </c>
    </row>
    <row r="13" spans="1:17" ht="16.5">
      <c r="A13" s="9">
        <v>2022</v>
      </c>
      <c r="B13" s="10" t="s">
        <v>748</v>
      </c>
      <c r="C13" s="511" t="s">
        <v>749</v>
      </c>
      <c r="D13" s="512">
        <v>218000</v>
      </c>
      <c r="E13" s="512">
        <v>0</v>
      </c>
      <c r="F13" s="512"/>
      <c r="G13" s="512">
        <v>51132</v>
      </c>
      <c r="H13" s="512" t="s">
        <v>275</v>
      </c>
      <c r="I13" s="512"/>
      <c r="J13" s="512" t="s">
        <v>216</v>
      </c>
      <c r="K13" s="512" t="b">
        <v>1</v>
      </c>
      <c r="L13" s="512">
        <v>3</v>
      </c>
      <c r="M13" s="513">
        <v>2025</v>
      </c>
      <c r="N13" s="514">
        <v>0</v>
      </c>
      <c r="O13" s="515">
        <v>44620</v>
      </c>
      <c r="P13" s="515">
        <v>44620</v>
      </c>
      <c r="Q13" s="516">
        <v>0</v>
      </c>
    </row>
    <row r="14" spans="1:17" ht="16.5">
      <c r="A14" s="9">
        <v>2022</v>
      </c>
      <c r="B14" s="10" t="s">
        <v>748</v>
      </c>
      <c r="C14" s="511" t="s">
        <v>749</v>
      </c>
      <c r="D14" s="512">
        <v>218000</v>
      </c>
      <c r="E14" s="512">
        <v>0</v>
      </c>
      <c r="F14" s="512"/>
      <c r="G14" s="512">
        <v>51132</v>
      </c>
      <c r="H14" s="512" t="s">
        <v>275</v>
      </c>
      <c r="I14" s="512"/>
      <c r="J14" s="512" t="s">
        <v>216</v>
      </c>
      <c r="K14" s="512" t="b">
        <v>1</v>
      </c>
      <c r="L14" s="512">
        <v>5</v>
      </c>
      <c r="M14" s="513">
        <v>2027</v>
      </c>
      <c r="N14" s="514">
        <v>0</v>
      </c>
      <c r="O14" s="515">
        <v>44620</v>
      </c>
      <c r="P14" s="515">
        <v>44620</v>
      </c>
      <c r="Q14" s="516">
        <v>0</v>
      </c>
    </row>
    <row r="15" spans="1:17" ht="16.5">
      <c r="A15" s="9">
        <v>2022</v>
      </c>
      <c r="B15" s="10" t="s">
        <v>748</v>
      </c>
      <c r="C15" s="511" t="s">
        <v>749</v>
      </c>
      <c r="D15" s="512">
        <v>218000</v>
      </c>
      <c r="E15" s="512">
        <v>0</v>
      </c>
      <c r="F15" s="512"/>
      <c r="G15" s="512">
        <v>51132</v>
      </c>
      <c r="H15" s="512" t="s">
        <v>275</v>
      </c>
      <c r="I15" s="512"/>
      <c r="J15" s="512" t="s">
        <v>216</v>
      </c>
      <c r="K15" s="512" t="b">
        <v>1</v>
      </c>
      <c r="L15" s="512">
        <v>10</v>
      </c>
      <c r="M15" s="513">
        <v>2032</v>
      </c>
      <c r="N15" s="514">
        <v>0</v>
      </c>
      <c r="O15" s="515">
        <v>44620</v>
      </c>
      <c r="P15" s="515">
        <v>44620</v>
      </c>
      <c r="Q15" s="516">
        <v>0</v>
      </c>
    </row>
    <row r="16" spans="1:17" ht="16.5">
      <c r="A16" s="9">
        <v>2022</v>
      </c>
      <c r="B16" s="10" t="s">
        <v>748</v>
      </c>
      <c r="C16" s="511" t="s">
        <v>749</v>
      </c>
      <c r="D16" s="512">
        <v>218000</v>
      </c>
      <c r="E16" s="512">
        <v>0</v>
      </c>
      <c r="F16" s="512"/>
      <c r="G16" s="512">
        <v>51132</v>
      </c>
      <c r="H16" s="512" t="s">
        <v>275</v>
      </c>
      <c r="I16" s="512"/>
      <c r="J16" s="512" t="s">
        <v>216</v>
      </c>
      <c r="K16" s="512" t="b">
        <v>1</v>
      </c>
      <c r="L16" s="512">
        <v>7</v>
      </c>
      <c r="M16" s="513">
        <v>2029</v>
      </c>
      <c r="N16" s="514">
        <v>0</v>
      </c>
      <c r="O16" s="515">
        <v>44620</v>
      </c>
      <c r="P16" s="515">
        <v>44620</v>
      </c>
      <c r="Q16" s="516">
        <v>0</v>
      </c>
    </row>
    <row r="17" spans="1:17" ht="16.5">
      <c r="A17" s="9">
        <v>2022</v>
      </c>
      <c r="B17" s="10" t="s">
        <v>748</v>
      </c>
      <c r="C17" s="511" t="s">
        <v>749</v>
      </c>
      <c r="D17" s="512">
        <v>218000</v>
      </c>
      <c r="E17" s="512">
        <v>0</v>
      </c>
      <c r="F17" s="512"/>
      <c r="G17" s="512">
        <v>51132</v>
      </c>
      <c r="H17" s="512" t="s">
        <v>275</v>
      </c>
      <c r="I17" s="512"/>
      <c r="J17" s="512" t="s">
        <v>216</v>
      </c>
      <c r="K17" s="512" t="b">
        <v>1</v>
      </c>
      <c r="L17" s="512">
        <v>9</v>
      </c>
      <c r="M17" s="513">
        <v>2031</v>
      </c>
      <c r="N17" s="514">
        <v>0</v>
      </c>
      <c r="O17" s="515">
        <v>44620</v>
      </c>
      <c r="P17" s="515">
        <v>44620</v>
      </c>
      <c r="Q17" s="516">
        <v>0</v>
      </c>
    </row>
    <row r="18" spans="1:17" ht="16.5">
      <c r="A18" s="9">
        <v>2022</v>
      </c>
      <c r="B18" s="10" t="s">
        <v>748</v>
      </c>
      <c r="C18" s="511" t="s">
        <v>749</v>
      </c>
      <c r="D18" s="512">
        <v>218000</v>
      </c>
      <c r="E18" s="512">
        <v>0</v>
      </c>
      <c r="F18" s="512"/>
      <c r="G18" s="512">
        <v>51132</v>
      </c>
      <c r="H18" s="512" t="s">
        <v>275</v>
      </c>
      <c r="I18" s="512"/>
      <c r="J18" s="512" t="s">
        <v>216</v>
      </c>
      <c r="K18" s="512" t="b">
        <v>1</v>
      </c>
      <c r="L18" s="512">
        <v>4</v>
      </c>
      <c r="M18" s="513">
        <v>2026</v>
      </c>
      <c r="N18" s="514">
        <v>0</v>
      </c>
      <c r="O18" s="515">
        <v>44620</v>
      </c>
      <c r="P18" s="515">
        <v>44620</v>
      </c>
      <c r="Q18" s="516">
        <v>0</v>
      </c>
    </row>
    <row r="19" spans="1:17" ht="16.5">
      <c r="A19" s="9">
        <v>2022</v>
      </c>
      <c r="B19" s="10" t="s">
        <v>748</v>
      </c>
      <c r="C19" s="511" t="s">
        <v>749</v>
      </c>
      <c r="D19" s="512">
        <v>218000</v>
      </c>
      <c r="E19" s="512">
        <v>0</v>
      </c>
      <c r="F19" s="512"/>
      <c r="G19" s="512">
        <v>60000</v>
      </c>
      <c r="H19" s="512">
        <v>6</v>
      </c>
      <c r="I19" s="512"/>
      <c r="J19" s="512" t="s">
        <v>219</v>
      </c>
      <c r="K19" s="512" t="b">
        <v>1</v>
      </c>
      <c r="L19" s="512">
        <v>2</v>
      </c>
      <c r="M19" s="513">
        <v>2024</v>
      </c>
      <c r="N19" s="514">
        <v>15500000</v>
      </c>
      <c r="O19" s="515">
        <v>44620</v>
      </c>
      <c r="P19" s="515">
        <v>44620</v>
      </c>
      <c r="Q19" s="516">
        <v>0</v>
      </c>
    </row>
    <row r="20" spans="1:17" ht="16.5">
      <c r="A20" s="9">
        <v>2022</v>
      </c>
      <c r="B20" s="10" t="s">
        <v>748</v>
      </c>
      <c r="C20" s="511" t="s">
        <v>749</v>
      </c>
      <c r="D20" s="512">
        <v>218000</v>
      </c>
      <c r="E20" s="512">
        <v>0</v>
      </c>
      <c r="F20" s="512"/>
      <c r="G20" s="512">
        <v>60000</v>
      </c>
      <c r="H20" s="512">
        <v>6</v>
      </c>
      <c r="I20" s="512"/>
      <c r="J20" s="512" t="s">
        <v>219</v>
      </c>
      <c r="K20" s="512" t="b">
        <v>1</v>
      </c>
      <c r="L20" s="512">
        <v>9</v>
      </c>
      <c r="M20" s="513">
        <v>2031</v>
      </c>
      <c r="N20" s="514">
        <v>3500000</v>
      </c>
      <c r="O20" s="515">
        <v>44620</v>
      </c>
      <c r="P20" s="515">
        <v>44620</v>
      </c>
      <c r="Q20" s="516">
        <v>0</v>
      </c>
    </row>
    <row r="21" spans="1:17" ht="16.5">
      <c r="A21" s="9">
        <v>2022</v>
      </c>
      <c r="B21" s="10" t="s">
        <v>748</v>
      </c>
      <c r="C21" s="511" t="s">
        <v>749</v>
      </c>
      <c r="D21" s="512">
        <v>218000</v>
      </c>
      <c r="E21" s="512">
        <v>0</v>
      </c>
      <c r="F21" s="512"/>
      <c r="G21" s="512">
        <v>60000</v>
      </c>
      <c r="H21" s="512">
        <v>6</v>
      </c>
      <c r="I21" s="512"/>
      <c r="J21" s="512" t="s">
        <v>219</v>
      </c>
      <c r="K21" s="512" t="b">
        <v>1</v>
      </c>
      <c r="L21" s="512">
        <v>6</v>
      </c>
      <c r="M21" s="513">
        <v>2028</v>
      </c>
      <c r="N21" s="514">
        <v>8000000</v>
      </c>
      <c r="O21" s="515">
        <v>44620</v>
      </c>
      <c r="P21" s="515">
        <v>44620</v>
      </c>
      <c r="Q21" s="516">
        <v>0</v>
      </c>
    </row>
    <row r="22" spans="1:17" ht="16.5">
      <c r="A22" s="9">
        <v>2022</v>
      </c>
      <c r="B22" s="10" t="s">
        <v>748</v>
      </c>
      <c r="C22" s="511" t="s">
        <v>749</v>
      </c>
      <c r="D22" s="512">
        <v>218000</v>
      </c>
      <c r="E22" s="512">
        <v>0</v>
      </c>
      <c r="F22" s="512"/>
      <c r="G22" s="512">
        <v>60000</v>
      </c>
      <c r="H22" s="512">
        <v>6</v>
      </c>
      <c r="I22" s="512"/>
      <c r="J22" s="512" t="s">
        <v>219</v>
      </c>
      <c r="K22" s="512" t="b">
        <v>1</v>
      </c>
      <c r="L22" s="512">
        <v>3</v>
      </c>
      <c r="M22" s="513">
        <v>2025</v>
      </c>
      <c r="N22" s="514">
        <v>13500000</v>
      </c>
      <c r="O22" s="515">
        <v>44620</v>
      </c>
      <c r="P22" s="515">
        <v>44620</v>
      </c>
      <c r="Q22" s="516">
        <v>0</v>
      </c>
    </row>
    <row r="23" spans="1:17" ht="16.5">
      <c r="A23" s="9">
        <v>2022</v>
      </c>
      <c r="B23" s="10" t="s">
        <v>748</v>
      </c>
      <c r="C23" s="511" t="s">
        <v>749</v>
      </c>
      <c r="D23" s="512">
        <v>218000</v>
      </c>
      <c r="E23" s="512">
        <v>0</v>
      </c>
      <c r="F23" s="512"/>
      <c r="G23" s="512">
        <v>60000</v>
      </c>
      <c r="H23" s="512">
        <v>6</v>
      </c>
      <c r="I23" s="512"/>
      <c r="J23" s="512" t="s">
        <v>219</v>
      </c>
      <c r="K23" s="512" t="b">
        <v>1</v>
      </c>
      <c r="L23" s="512">
        <v>11</v>
      </c>
      <c r="M23" s="513">
        <v>2033</v>
      </c>
      <c r="N23" s="514">
        <v>0</v>
      </c>
      <c r="O23" s="515">
        <v>44620</v>
      </c>
      <c r="P23" s="515">
        <v>44620</v>
      </c>
      <c r="Q23" s="516">
        <v>0</v>
      </c>
    </row>
    <row r="24" spans="1:17" ht="16.5">
      <c r="A24" s="9">
        <v>2022</v>
      </c>
      <c r="B24" s="10" t="s">
        <v>748</v>
      </c>
      <c r="C24" s="511" t="s">
        <v>749</v>
      </c>
      <c r="D24" s="512">
        <v>218000</v>
      </c>
      <c r="E24" s="512">
        <v>0</v>
      </c>
      <c r="F24" s="512"/>
      <c r="G24" s="512">
        <v>60000</v>
      </c>
      <c r="H24" s="512">
        <v>6</v>
      </c>
      <c r="I24" s="512"/>
      <c r="J24" s="512" t="s">
        <v>219</v>
      </c>
      <c r="K24" s="512" t="b">
        <v>1</v>
      </c>
      <c r="L24" s="512">
        <v>0</v>
      </c>
      <c r="M24" s="513">
        <v>2022</v>
      </c>
      <c r="N24" s="514">
        <v>18415000</v>
      </c>
      <c r="O24" s="515">
        <v>44620</v>
      </c>
      <c r="P24" s="515">
        <v>44620</v>
      </c>
      <c r="Q24" s="516">
        <v>0</v>
      </c>
    </row>
    <row r="25" spans="1:17" ht="16.5">
      <c r="A25" s="9">
        <v>2022</v>
      </c>
      <c r="B25" s="10" t="s">
        <v>748</v>
      </c>
      <c r="C25" s="511" t="s">
        <v>749</v>
      </c>
      <c r="D25" s="512">
        <v>218000</v>
      </c>
      <c r="E25" s="512">
        <v>0</v>
      </c>
      <c r="F25" s="512"/>
      <c r="G25" s="512">
        <v>60000</v>
      </c>
      <c r="H25" s="512">
        <v>6</v>
      </c>
      <c r="I25" s="512"/>
      <c r="J25" s="512" t="s">
        <v>219</v>
      </c>
      <c r="K25" s="512" t="b">
        <v>1</v>
      </c>
      <c r="L25" s="512">
        <v>10</v>
      </c>
      <c r="M25" s="513">
        <v>2032</v>
      </c>
      <c r="N25" s="514">
        <v>1750000</v>
      </c>
      <c r="O25" s="515">
        <v>44620</v>
      </c>
      <c r="P25" s="515">
        <v>44620</v>
      </c>
      <c r="Q25" s="516">
        <v>0</v>
      </c>
    </row>
    <row r="26" spans="1:17" ht="16.5">
      <c r="A26" s="9">
        <v>2022</v>
      </c>
      <c r="B26" s="10" t="s">
        <v>748</v>
      </c>
      <c r="C26" s="511" t="s">
        <v>749</v>
      </c>
      <c r="D26" s="512">
        <v>218000</v>
      </c>
      <c r="E26" s="512">
        <v>0</v>
      </c>
      <c r="F26" s="512"/>
      <c r="G26" s="512">
        <v>60000</v>
      </c>
      <c r="H26" s="512">
        <v>6</v>
      </c>
      <c r="I26" s="512"/>
      <c r="J26" s="512" t="s">
        <v>219</v>
      </c>
      <c r="K26" s="512" t="b">
        <v>1</v>
      </c>
      <c r="L26" s="512">
        <v>7</v>
      </c>
      <c r="M26" s="513">
        <v>2029</v>
      </c>
      <c r="N26" s="514">
        <v>6500000</v>
      </c>
      <c r="O26" s="515">
        <v>44620</v>
      </c>
      <c r="P26" s="515">
        <v>44620</v>
      </c>
      <c r="Q26" s="516">
        <v>0</v>
      </c>
    </row>
    <row r="27" spans="1:17" ht="16.5">
      <c r="A27" s="9">
        <v>2022</v>
      </c>
      <c r="B27" s="10" t="s">
        <v>748</v>
      </c>
      <c r="C27" s="511" t="s">
        <v>749</v>
      </c>
      <c r="D27" s="512">
        <v>218000</v>
      </c>
      <c r="E27" s="512">
        <v>0</v>
      </c>
      <c r="F27" s="512"/>
      <c r="G27" s="512">
        <v>60000</v>
      </c>
      <c r="H27" s="512">
        <v>6</v>
      </c>
      <c r="I27" s="512"/>
      <c r="J27" s="512" t="s">
        <v>219</v>
      </c>
      <c r="K27" s="512" t="b">
        <v>1</v>
      </c>
      <c r="L27" s="512">
        <v>5</v>
      </c>
      <c r="M27" s="513">
        <v>2027</v>
      </c>
      <c r="N27" s="514">
        <v>9500000</v>
      </c>
      <c r="O27" s="515">
        <v>44620</v>
      </c>
      <c r="P27" s="515">
        <v>44620</v>
      </c>
      <c r="Q27" s="516">
        <v>0</v>
      </c>
    </row>
    <row r="28" spans="1:17" ht="16.5">
      <c r="A28" s="9">
        <v>2022</v>
      </c>
      <c r="B28" s="10" t="s">
        <v>748</v>
      </c>
      <c r="C28" s="511" t="s">
        <v>749</v>
      </c>
      <c r="D28" s="512">
        <v>218000</v>
      </c>
      <c r="E28" s="512">
        <v>0</v>
      </c>
      <c r="F28" s="512"/>
      <c r="G28" s="512">
        <v>60000</v>
      </c>
      <c r="H28" s="512">
        <v>6</v>
      </c>
      <c r="I28" s="512"/>
      <c r="J28" s="512" t="s">
        <v>219</v>
      </c>
      <c r="K28" s="512" t="b">
        <v>1</v>
      </c>
      <c r="L28" s="512">
        <v>1</v>
      </c>
      <c r="M28" s="513">
        <v>2023</v>
      </c>
      <c r="N28" s="514">
        <v>17415000</v>
      </c>
      <c r="O28" s="515">
        <v>44620</v>
      </c>
      <c r="P28" s="515">
        <v>44620</v>
      </c>
      <c r="Q28" s="516">
        <v>0</v>
      </c>
    </row>
    <row r="29" spans="1:17" ht="16.5">
      <c r="A29" s="9">
        <v>2022</v>
      </c>
      <c r="B29" s="10" t="s">
        <v>748</v>
      </c>
      <c r="C29" s="511" t="s">
        <v>749</v>
      </c>
      <c r="D29" s="512">
        <v>218000</v>
      </c>
      <c r="E29" s="512">
        <v>0</v>
      </c>
      <c r="F29" s="512"/>
      <c r="G29" s="512">
        <v>60000</v>
      </c>
      <c r="H29" s="512">
        <v>6</v>
      </c>
      <c r="I29" s="512"/>
      <c r="J29" s="512" t="s">
        <v>219</v>
      </c>
      <c r="K29" s="512" t="b">
        <v>1</v>
      </c>
      <c r="L29" s="512">
        <v>8</v>
      </c>
      <c r="M29" s="513">
        <v>2030</v>
      </c>
      <c r="N29" s="514">
        <v>5000000</v>
      </c>
      <c r="O29" s="515">
        <v>44620</v>
      </c>
      <c r="P29" s="515">
        <v>44620</v>
      </c>
      <c r="Q29" s="516">
        <v>0</v>
      </c>
    </row>
    <row r="30" spans="1:17" ht="16.5">
      <c r="A30" s="9">
        <v>2022</v>
      </c>
      <c r="B30" s="10" t="s">
        <v>748</v>
      </c>
      <c r="C30" s="511" t="s">
        <v>749</v>
      </c>
      <c r="D30" s="512">
        <v>218000</v>
      </c>
      <c r="E30" s="512">
        <v>0</v>
      </c>
      <c r="F30" s="512"/>
      <c r="G30" s="512">
        <v>60000</v>
      </c>
      <c r="H30" s="512">
        <v>6</v>
      </c>
      <c r="I30" s="512"/>
      <c r="J30" s="512" t="s">
        <v>219</v>
      </c>
      <c r="K30" s="512" t="b">
        <v>1</v>
      </c>
      <c r="L30" s="512">
        <v>4</v>
      </c>
      <c r="M30" s="513">
        <v>2026</v>
      </c>
      <c r="N30" s="514">
        <v>11500000</v>
      </c>
      <c r="O30" s="515">
        <v>44620</v>
      </c>
      <c r="P30" s="515">
        <v>44620</v>
      </c>
      <c r="Q30" s="516">
        <v>0</v>
      </c>
    </row>
    <row r="31" spans="1:17" ht="16.5">
      <c r="A31" s="9">
        <v>2022</v>
      </c>
      <c r="B31" s="10" t="s">
        <v>748</v>
      </c>
      <c r="C31" s="511" t="s">
        <v>749</v>
      </c>
      <c r="D31" s="512">
        <v>218000</v>
      </c>
      <c r="E31" s="512">
        <v>0</v>
      </c>
      <c r="F31" s="512"/>
      <c r="G31" s="512">
        <v>42000</v>
      </c>
      <c r="H31" s="512">
        <v>4.2</v>
      </c>
      <c r="I31" s="512"/>
      <c r="J31" s="512" t="s">
        <v>205</v>
      </c>
      <c r="K31" s="512" t="b">
        <v>0</v>
      </c>
      <c r="L31" s="512">
        <v>3</v>
      </c>
      <c r="M31" s="513">
        <v>2025</v>
      </c>
      <c r="N31" s="514">
        <v>0</v>
      </c>
      <c r="O31" s="515">
        <v>44620</v>
      </c>
      <c r="P31" s="515">
        <v>44620</v>
      </c>
      <c r="Q31" s="516">
        <v>0</v>
      </c>
    </row>
    <row r="32" spans="1:17" ht="16.5">
      <c r="A32" s="9">
        <v>2022</v>
      </c>
      <c r="B32" s="10" t="s">
        <v>748</v>
      </c>
      <c r="C32" s="511" t="s">
        <v>749</v>
      </c>
      <c r="D32" s="512">
        <v>218000</v>
      </c>
      <c r="E32" s="512">
        <v>0</v>
      </c>
      <c r="F32" s="512"/>
      <c r="G32" s="512">
        <v>42000</v>
      </c>
      <c r="H32" s="512">
        <v>4.2</v>
      </c>
      <c r="I32" s="512"/>
      <c r="J32" s="512" t="s">
        <v>205</v>
      </c>
      <c r="K32" s="512" t="b">
        <v>0</v>
      </c>
      <c r="L32" s="512">
        <v>8</v>
      </c>
      <c r="M32" s="513">
        <v>2030</v>
      </c>
      <c r="N32" s="514">
        <v>0</v>
      </c>
      <c r="O32" s="515">
        <v>44620</v>
      </c>
      <c r="P32" s="515">
        <v>44620</v>
      </c>
      <c r="Q32" s="516">
        <v>0</v>
      </c>
    </row>
    <row r="33" spans="1:17" ht="16.5">
      <c r="A33" s="9">
        <v>2022</v>
      </c>
      <c r="B33" s="10" t="s">
        <v>748</v>
      </c>
      <c r="C33" s="511" t="s">
        <v>749</v>
      </c>
      <c r="D33" s="512">
        <v>218000</v>
      </c>
      <c r="E33" s="512">
        <v>0</v>
      </c>
      <c r="F33" s="512"/>
      <c r="G33" s="512">
        <v>42000</v>
      </c>
      <c r="H33" s="512">
        <v>4.2</v>
      </c>
      <c r="I33" s="512"/>
      <c r="J33" s="512" t="s">
        <v>205</v>
      </c>
      <c r="K33" s="512" t="b">
        <v>0</v>
      </c>
      <c r="L33" s="512">
        <v>5</v>
      </c>
      <c r="M33" s="513">
        <v>2027</v>
      </c>
      <c r="N33" s="514">
        <v>0</v>
      </c>
      <c r="O33" s="515">
        <v>44620</v>
      </c>
      <c r="P33" s="515">
        <v>44620</v>
      </c>
      <c r="Q33" s="516">
        <v>0</v>
      </c>
    </row>
    <row r="34" spans="1:17" ht="16.5">
      <c r="A34" s="9">
        <v>2022</v>
      </c>
      <c r="B34" s="10" t="s">
        <v>748</v>
      </c>
      <c r="C34" s="511" t="s">
        <v>749</v>
      </c>
      <c r="D34" s="512">
        <v>218000</v>
      </c>
      <c r="E34" s="512">
        <v>0</v>
      </c>
      <c r="F34" s="512"/>
      <c r="G34" s="512">
        <v>42000</v>
      </c>
      <c r="H34" s="512">
        <v>4.2</v>
      </c>
      <c r="I34" s="512"/>
      <c r="J34" s="512" t="s">
        <v>205</v>
      </c>
      <c r="K34" s="512" t="b">
        <v>0</v>
      </c>
      <c r="L34" s="512">
        <v>9</v>
      </c>
      <c r="M34" s="513">
        <v>2031</v>
      </c>
      <c r="N34" s="514">
        <v>0</v>
      </c>
      <c r="O34" s="515">
        <v>44620</v>
      </c>
      <c r="P34" s="515">
        <v>44620</v>
      </c>
      <c r="Q34" s="516">
        <v>0</v>
      </c>
    </row>
    <row r="35" spans="1:17" ht="16.5">
      <c r="A35" s="9">
        <v>2022</v>
      </c>
      <c r="B35" s="10" t="s">
        <v>748</v>
      </c>
      <c r="C35" s="511" t="s">
        <v>749</v>
      </c>
      <c r="D35" s="512">
        <v>218000</v>
      </c>
      <c r="E35" s="512">
        <v>0</v>
      </c>
      <c r="F35" s="512"/>
      <c r="G35" s="512">
        <v>42000</v>
      </c>
      <c r="H35" s="512">
        <v>4.2</v>
      </c>
      <c r="I35" s="512"/>
      <c r="J35" s="512" t="s">
        <v>205</v>
      </c>
      <c r="K35" s="512" t="b">
        <v>0</v>
      </c>
      <c r="L35" s="512">
        <v>6</v>
      </c>
      <c r="M35" s="513">
        <v>2028</v>
      </c>
      <c r="N35" s="514">
        <v>0</v>
      </c>
      <c r="O35" s="515">
        <v>44620</v>
      </c>
      <c r="P35" s="515">
        <v>44620</v>
      </c>
      <c r="Q35" s="516">
        <v>0</v>
      </c>
    </row>
    <row r="36" spans="1:17" ht="16.5">
      <c r="A36" s="9">
        <v>2022</v>
      </c>
      <c r="B36" s="10" t="s">
        <v>748</v>
      </c>
      <c r="C36" s="511" t="s">
        <v>749</v>
      </c>
      <c r="D36" s="512">
        <v>218000</v>
      </c>
      <c r="E36" s="512">
        <v>0</v>
      </c>
      <c r="F36" s="512"/>
      <c r="G36" s="512">
        <v>42000</v>
      </c>
      <c r="H36" s="512">
        <v>4.2</v>
      </c>
      <c r="I36" s="512"/>
      <c r="J36" s="512" t="s">
        <v>205</v>
      </c>
      <c r="K36" s="512" t="b">
        <v>0</v>
      </c>
      <c r="L36" s="512">
        <v>7</v>
      </c>
      <c r="M36" s="513">
        <v>2029</v>
      </c>
      <c r="N36" s="514">
        <v>0</v>
      </c>
      <c r="O36" s="515">
        <v>44620</v>
      </c>
      <c r="P36" s="515">
        <v>44620</v>
      </c>
      <c r="Q36" s="516">
        <v>0</v>
      </c>
    </row>
    <row r="37" spans="1:17" ht="16.5">
      <c r="A37" s="9">
        <v>2022</v>
      </c>
      <c r="B37" s="10" t="s">
        <v>748</v>
      </c>
      <c r="C37" s="511" t="s">
        <v>749</v>
      </c>
      <c r="D37" s="512">
        <v>218000</v>
      </c>
      <c r="E37" s="512">
        <v>0</v>
      </c>
      <c r="F37" s="512"/>
      <c r="G37" s="512">
        <v>42000</v>
      </c>
      <c r="H37" s="512">
        <v>4.2</v>
      </c>
      <c r="I37" s="512"/>
      <c r="J37" s="512" t="s">
        <v>205</v>
      </c>
      <c r="K37" s="512" t="b">
        <v>0</v>
      </c>
      <c r="L37" s="512">
        <v>0</v>
      </c>
      <c r="M37" s="513">
        <v>2022</v>
      </c>
      <c r="N37" s="514">
        <v>410548</v>
      </c>
      <c r="O37" s="515">
        <v>44620</v>
      </c>
      <c r="P37" s="515">
        <v>44620</v>
      </c>
      <c r="Q37" s="516">
        <v>0</v>
      </c>
    </row>
    <row r="38" spans="1:17" ht="16.5">
      <c r="A38" s="9">
        <v>2022</v>
      </c>
      <c r="B38" s="10" t="s">
        <v>748</v>
      </c>
      <c r="C38" s="511" t="s">
        <v>749</v>
      </c>
      <c r="D38" s="512">
        <v>218000</v>
      </c>
      <c r="E38" s="512">
        <v>0</v>
      </c>
      <c r="F38" s="512"/>
      <c r="G38" s="512">
        <v>42000</v>
      </c>
      <c r="H38" s="512">
        <v>4.2</v>
      </c>
      <c r="I38" s="512"/>
      <c r="J38" s="512" t="s">
        <v>205</v>
      </c>
      <c r="K38" s="512" t="b">
        <v>0</v>
      </c>
      <c r="L38" s="512">
        <v>10</v>
      </c>
      <c r="M38" s="513">
        <v>2032</v>
      </c>
      <c r="N38" s="514">
        <v>0</v>
      </c>
      <c r="O38" s="515">
        <v>44620</v>
      </c>
      <c r="P38" s="515">
        <v>44620</v>
      </c>
      <c r="Q38" s="516">
        <v>0</v>
      </c>
    </row>
    <row r="39" spans="1:17" ht="16.5">
      <c r="A39" s="9">
        <v>2022</v>
      </c>
      <c r="B39" s="10" t="s">
        <v>748</v>
      </c>
      <c r="C39" s="511" t="s">
        <v>749</v>
      </c>
      <c r="D39" s="512">
        <v>218000</v>
      </c>
      <c r="E39" s="512">
        <v>0</v>
      </c>
      <c r="F39" s="512"/>
      <c r="G39" s="512">
        <v>42000</v>
      </c>
      <c r="H39" s="512">
        <v>4.2</v>
      </c>
      <c r="I39" s="512"/>
      <c r="J39" s="512" t="s">
        <v>205</v>
      </c>
      <c r="K39" s="512" t="b">
        <v>0</v>
      </c>
      <c r="L39" s="512">
        <v>4</v>
      </c>
      <c r="M39" s="513">
        <v>2026</v>
      </c>
      <c r="N39" s="514">
        <v>0</v>
      </c>
      <c r="O39" s="515">
        <v>44620</v>
      </c>
      <c r="P39" s="515">
        <v>44620</v>
      </c>
      <c r="Q39" s="516">
        <v>0</v>
      </c>
    </row>
    <row r="40" spans="1:17" ht="16.5">
      <c r="A40" s="9">
        <v>2022</v>
      </c>
      <c r="B40" s="10" t="s">
        <v>748</v>
      </c>
      <c r="C40" s="511" t="s">
        <v>749</v>
      </c>
      <c r="D40" s="512">
        <v>218000</v>
      </c>
      <c r="E40" s="512">
        <v>0</v>
      </c>
      <c r="F40" s="512"/>
      <c r="G40" s="512">
        <v>42000</v>
      </c>
      <c r="H40" s="512">
        <v>4.2</v>
      </c>
      <c r="I40" s="512"/>
      <c r="J40" s="512" t="s">
        <v>205</v>
      </c>
      <c r="K40" s="512" t="b">
        <v>0</v>
      </c>
      <c r="L40" s="512">
        <v>1</v>
      </c>
      <c r="M40" s="513">
        <v>2023</v>
      </c>
      <c r="N40" s="514">
        <v>0</v>
      </c>
      <c r="O40" s="515">
        <v>44620</v>
      </c>
      <c r="P40" s="515">
        <v>44620</v>
      </c>
      <c r="Q40" s="516">
        <v>0</v>
      </c>
    </row>
    <row r="41" spans="1:17" ht="16.5">
      <c r="A41" s="9">
        <v>2022</v>
      </c>
      <c r="B41" s="10" t="s">
        <v>748</v>
      </c>
      <c r="C41" s="511" t="s">
        <v>749</v>
      </c>
      <c r="D41" s="512">
        <v>218000</v>
      </c>
      <c r="E41" s="512">
        <v>0</v>
      </c>
      <c r="F41" s="512"/>
      <c r="G41" s="512">
        <v>42000</v>
      </c>
      <c r="H41" s="512">
        <v>4.2</v>
      </c>
      <c r="I41" s="512"/>
      <c r="J41" s="512" t="s">
        <v>205</v>
      </c>
      <c r="K41" s="512" t="b">
        <v>0</v>
      </c>
      <c r="L41" s="512">
        <v>11</v>
      </c>
      <c r="M41" s="513">
        <v>2033</v>
      </c>
      <c r="N41" s="514">
        <v>0</v>
      </c>
      <c r="O41" s="515">
        <v>44620</v>
      </c>
      <c r="P41" s="515">
        <v>44620</v>
      </c>
      <c r="Q41" s="516">
        <v>0</v>
      </c>
    </row>
    <row r="42" spans="1:17" ht="16.5">
      <c r="A42" s="9">
        <v>2022</v>
      </c>
      <c r="B42" s="10" t="s">
        <v>748</v>
      </c>
      <c r="C42" s="511" t="s">
        <v>749</v>
      </c>
      <c r="D42" s="512">
        <v>218000</v>
      </c>
      <c r="E42" s="512">
        <v>0</v>
      </c>
      <c r="F42" s="512"/>
      <c r="G42" s="512">
        <v>42000</v>
      </c>
      <c r="H42" s="512">
        <v>4.2</v>
      </c>
      <c r="I42" s="512"/>
      <c r="J42" s="512" t="s">
        <v>205</v>
      </c>
      <c r="K42" s="512" t="b">
        <v>0</v>
      </c>
      <c r="L42" s="512">
        <v>2</v>
      </c>
      <c r="M42" s="513">
        <v>2024</v>
      </c>
      <c r="N42" s="514">
        <v>0</v>
      </c>
      <c r="O42" s="515">
        <v>44620</v>
      </c>
      <c r="P42" s="515">
        <v>44620</v>
      </c>
      <c r="Q42" s="516">
        <v>0</v>
      </c>
    </row>
    <row r="43" spans="1:17" ht="16.5">
      <c r="A43" s="9">
        <v>2022</v>
      </c>
      <c r="B43" s="10" t="s">
        <v>748</v>
      </c>
      <c r="C43" s="511" t="s">
        <v>749</v>
      </c>
      <c r="D43" s="512">
        <v>218000</v>
      </c>
      <c r="E43" s="512">
        <v>0</v>
      </c>
      <c r="F43" s="512"/>
      <c r="G43" s="512">
        <v>87110</v>
      </c>
      <c r="H43" s="512" t="s">
        <v>587</v>
      </c>
      <c r="I43" s="512" t="s">
        <v>750</v>
      </c>
      <c r="J43" s="512" t="s">
        <v>587</v>
      </c>
      <c r="K43" s="512" t="b">
        <v>1</v>
      </c>
      <c r="L43" s="512">
        <v>9</v>
      </c>
      <c r="M43" s="513">
        <v>2031</v>
      </c>
      <c r="N43" s="514">
        <v>748</v>
      </c>
      <c r="O43" s="515">
        <v>44620</v>
      </c>
      <c r="P43" s="515">
        <v>44620</v>
      </c>
      <c r="Q43" s="516">
        <v>0</v>
      </c>
    </row>
    <row r="44" spans="1:17" ht="16.5">
      <c r="A44" s="9">
        <v>2022</v>
      </c>
      <c r="B44" s="10" t="s">
        <v>748</v>
      </c>
      <c r="C44" s="511" t="s">
        <v>749</v>
      </c>
      <c r="D44" s="512">
        <v>218000</v>
      </c>
      <c r="E44" s="512">
        <v>0</v>
      </c>
      <c r="F44" s="512"/>
      <c r="G44" s="512">
        <v>87110</v>
      </c>
      <c r="H44" s="512" t="s">
        <v>587</v>
      </c>
      <c r="I44" s="512" t="s">
        <v>750</v>
      </c>
      <c r="J44" s="512" t="s">
        <v>587</v>
      </c>
      <c r="K44" s="512" t="b">
        <v>1</v>
      </c>
      <c r="L44" s="512">
        <v>8</v>
      </c>
      <c r="M44" s="513">
        <v>2030</v>
      </c>
      <c r="N44" s="514">
        <v>650</v>
      </c>
      <c r="O44" s="515">
        <v>44620</v>
      </c>
      <c r="P44" s="515">
        <v>44620</v>
      </c>
      <c r="Q44" s="516">
        <v>0</v>
      </c>
    </row>
    <row r="45" spans="1:17" ht="16.5">
      <c r="A45" s="9">
        <v>2022</v>
      </c>
      <c r="B45" s="10" t="s">
        <v>748</v>
      </c>
      <c r="C45" s="511" t="s">
        <v>749</v>
      </c>
      <c r="D45" s="512">
        <v>218000</v>
      </c>
      <c r="E45" s="512">
        <v>0</v>
      </c>
      <c r="F45" s="512"/>
      <c r="G45" s="512">
        <v>87110</v>
      </c>
      <c r="H45" s="512" t="s">
        <v>587</v>
      </c>
      <c r="I45" s="512" t="s">
        <v>750</v>
      </c>
      <c r="J45" s="512" t="s">
        <v>587</v>
      </c>
      <c r="K45" s="512" t="b">
        <v>1</v>
      </c>
      <c r="L45" s="512">
        <v>10</v>
      </c>
      <c r="M45" s="513">
        <v>2032</v>
      </c>
      <c r="N45" s="514">
        <v>804</v>
      </c>
      <c r="O45" s="515">
        <v>44620</v>
      </c>
      <c r="P45" s="515">
        <v>44620</v>
      </c>
      <c r="Q45" s="516">
        <v>0</v>
      </c>
    </row>
    <row r="46" spans="1:17" ht="16.5">
      <c r="A46" s="9">
        <v>2022</v>
      </c>
      <c r="B46" s="10" t="s">
        <v>748</v>
      </c>
      <c r="C46" s="511" t="s">
        <v>749</v>
      </c>
      <c r="D46" s="512">
        <v>218000</v>
      </c>
      <c r="E46" s="512">
        <v>0</v>
      </c>
      <c r="F46" s="512"/>
      <c r="G46" s="512">
        <v>87110</v>
      </c>
      <c r="H46" s="512" t="s">
        <v>587</v>
      </c>
      <c r="I46" s="512" t="s">
        <v>750</v>
      </c>
      <c r="J46" s="512" t="s">
        <v>587</v>
      </c>
      <c r="K46" s="512" t="b">
        <v>1</v>
      </c>
      <c r="L46" s="512">
        <v>0</v>
      </c>
      <c r="M46" s="513">
        <v>2022</v>
      </c>
      <c r="N46" s="514">
        <v>1671</v>
      </c>
      <c r="O46" s="515">
        <v>44620</v>
      </c>
      <c r="P46" s="515">
        <v>44620</v>
      </c>
      <c r="Q46" s="516">
        <v>0</v>
      </c>
    </row>
    <row r="47" spans="1:17" ht="16.5">
      <c r="A47" s="9">
        <v>2022</v>
      </c>
      <c r="B47" s="10" t="s">
        <v>748</v>
      </c>
      <c r="C47" s="511" t="s">
        <v>749</v>
      </c>
      <c r="D47" s="512">
        <v>218000</v>
      </c>
      <c r="E47" s="512">
        <v>0</v>
      </c>
      <c r="F47" s="512"/>
      <c r="G47" s="512">
        <v>87110</v>
      </c>
      <c r="H47" s="512" t="s">
        <v>587</v>
      </c>
      <c r="I47" s="512" t="s">
        <v>750</v>
      </c>
      <c r="J47" s="512" t="s">
        <v>587</v>
      </c>
      <c r="K47" s="512" t="b">
        <v>1</v>
      </c>
      <c r="L47" s="512">
        <v>11</v>
      </c>
      <c r="M47" s="513">
        <v>2033</v>
      </c>
      <c r="N47" s="514">
        <v>899</v>
      </c>
      <c r="O47" s="515">
        <v>44620</v>
      </c>
      <c r="P47" s="515">
        <v>44620</v>
      </c>
      <c r="Q47" s="516">
        <v>0</v>
      </c>
    </row>
    <row r="48" spans="1:17" ht="16.5">
      <c r="A48" s="9">
        <v>2022</v>
      </c>
      <c r="B48" s="10" t="s">
        <v>748</v>
      </c>
      <c r="C48" s="511" t="s">
        <v>749</v>
      </c>
      <c r="D48" s="512">
        <v>218000</v>
      </c>
      <c r="E48" s="512">
        <v>0</v>
      </c>
      <c r="F48" s="512"/>
      <c r="G48" s="512">
        <v>87110</v>
      </c>
      <c r="H48" s="512" t="s">
        <v>587</v>
      </c>
      <c r="I48" s="512" t="s">
        <v>750</v>
      </c>
      <c r="J48" s="512" t="s">
        <v>587</v>
      </c>
      <c r="K48" s="512" t="b">
        <v>1</v>
      </c>
      <c r="L48" s="512">
        <v>1</v>
      </c>
      <c r="M48" s="513">
        <v>2023</v>
      </c>
      <c r="N48" s="514">
        <v>996</v>
      </c>
      <c r="O48" s="515">
        <v>44620</v>
      </c>
      <c r="P48" s="515">
        <v>44620</v>
      </c>
      <c r="Q48" s="516">
        <v>0</v>
      </c>
    </row>
    <row r="49" spans="1:17" ht="16.5">
      <c r="A49" s="9">
        <v>2022</v>
      </c>
      <c r="B49" s="10" t="s">
        <v>748</v>
      </c>
      <c r="C49" s="511" t="s">
        <v>749</v>
      </c>
      <c r="D49" s="512">
        <v>218000</v>
      </c>
      <c r="E49" s="512">
        <v>0</v>
      </c>
      <c r="F49" s="512"/>
      <c r="G49" s="512">
        <v>87110</v>
      </c>
      <c r="H49" s="512" t="s">
        <v>587</v>
      </c>
      <c r="I49" s="512" t="s">
        <v>750</v>
      </c>
      <c r="J49" s="512" t="s">
        <v>587</v>
      </c>
      <c r="K49" s="512" t="b">
        <v>1</v>
      </c>
      <c r="L49" s="512">
        <v>3</v>
      </c>
      <c r="M49" s="513">
        <v>2025</v>
      </c>
      <c r="N49" s="514">
        <v>837</v>
      </c>
      <c r="O49" s="515">
        <v>44620</v>
      </c>
      <c r="P49" s="515">
        <v>44620</v>
      </c>
      <c r="Q49" s="516">
        <v>0</v>
      </c>
    </row>
    <row r="50" spans="1:17" ht="16.5">
      <c r="A50" s="9">
        <v>2022</v>
      </c>
      <c r="B50" s="10" t="s">
        <v>748</v>
      </c>
      <c r="C50" s="511" t="s">
        <v>749</v>
      </c>
      <c r="D50" s="512">
        <v>218000</v>
      </c>
      <c r="E50" s="512">
        <v>0</v>
      </c>
      <c r="F50" s="512"/>
      <c r="G50" s="512">
        <v>87110</v>
      </c>
      <c r="H50" s="512" t="s">
        <v>587</v>
      </c>
      <c r="I50" s="512" t="s">
        <v>750</v>
      </c>
      <c r="J50" s="512" t="s">
        <v>587</v>
      </c>
      <c r="K50" s="512" t="b">
        <v>1</v>
      </c>
      <c r="L50" s="512">
        <v>4</v>
      </c>
      <c r="M50" s="513">
        <v>2026</v>
      </c>
      <c r="N50" s="514">
        <v>604</v>
      </c>
      <c r="O50" s="515">
        <v>44620</v>
      </c>
      <c r="P50" s="515">
        <v>44620</v>
      </c>
      <c r="Q50" s="516">
        <v>0</v>
      </c>
    </row>
    <row r="51" spans="1:17" ht="16.5">
      <c r="A51" s="9">
        <v>2022</v>
      </c>
      <c r="B51" s="10" t="s">
        <v>748</v>
      </c>
      <c r="C51" s="511" t="s">
        <v>749</v>
      </c>
      <c r="D51" s="512">
        <v>218000</v>
      </c>
      <c r="E51" s="512">
        <v>0</v>
      </c>
      <c r="F51" s="512"/>
      <c r="G51" s="512">
        <v>87110</v>
      </c>
      <c r="H51" s="512" t="s">
        <v>587</v>
      </c>
      <c r="I51" s="512" t="s">
        <v>750</v>
      </c>
      <c r="J51" s="512" t="s">
        <v>587</v>
      </c>
      <c r="K51" s="512" t="b">
        <v>1</v>
      </c>
      <c r="L51" s="512">
        <v>6</v>
      </c>
      <c r="M51" s="513">
        <v>2028</v>
      </c>
      <c r="N51" s="514">
        <v>608</v>
      </c>
      <c r="O51" s="515">
        <v>44620</v>
      </c>
      <c r="P51" s="515">
        <v>44620</v>
      </c>
      <c r="Q51" s="516">
        <v>0</v>
      </c>
    </row>
    <row r="52" spans="1:17" ht="16.5">
      <c r="A52" s="9">
        <v>2022</v>
      </c>
      <c r="B52" s="10" t="s">
        <v>748</v>
      </c>
      <c r="C52" s="511" t="s">
        <v>749</v>
      </c>
      <c r="D52" s="512">
        <v>218000</v>
      </c>
      <c r="E52" s="512">
        <v>0</v>
      </c>
      <c r="F52" s="512"/>
      <c r="G52" s="512">
        <v>87110</v>
      </c>
      <c r="H52" s="512" t="s">
        <v>587</v>
      </c>
      <c r="I52" s="512" t="s">
        <v>750</v>
      </c>
      <c r="J52" s="512" t="s">
        <v>587</v>
      </c>
      <c r="K52" s="512" t="b">
        <v>1</v>
      </c>
      <c r="L52" s="512">
        <v>5</v>
      </c>
      <c r="M52" s="513">
        <v>2027</v>
      </c>
      <c r="N52" s="514">
        <v>517</v>
      </c>
      <c r="O52" s="515">
        <v>44620</v>
      </c>
      <c r="P52" s="515">
        <v>44620</v>
      </c>
      <c r="Q52" s="516">
        <v>0</v>
      </c>
    </row>
    <row r="53" spans="1:17" ht="16.5">
      <c r="A53" s="9">
        <v>2022</v>
      </c>
      <c r="B53" s="10" t="s">
        <v>748</v>
      </c>
      <c r="C53" s="511" t="s">
        <v>749</v>
      </c>
      <c r="D53" s="512">
        <v>218000</v>
      </c>
      <c r="E53" s="512">
        <v>0</v>
      </c>
      <c r="F53" s="512"/>
      <c r="G53" s="512">
        <v>87110</v>
      </c>
      <c r="H53" s="512" t="s">
        <v>587</v>
      </c>
      <c r="I53" s="512" t="s">
        <v>750</v>
      </c>
      <c r="J53" s="512" t="s">
        <v>587</v>
      </c>
      <c r="K53" s="512" t="b">
        <v>1</v>
      </c>
      <c r="L53" s="512">
        <v>7</v>
      </c>
      <c r="M53" s="513">
        <v>2029</v>
      </c>
      <c r="N53" s="514">
        <v>519</v>
      </c>
      <c r="O53" s="515">
        <v>44620</v>
      </c>
      <c r="P53" s="515">
        <v>44620</v>
      </c>
      <c r="Q53" s="516">
        <v>0</v>
      </c>
    </row>
    <row r="54" spans="1:17" ht="16.5">
      <c r="A54" s="9">
        <v>2022</v>
      </c>
      <c r="B54" s="10" t="s">
        <v>748</v>
      </c>
      <c r="C54" s="511" t="s">
        <v>749</v>
      </c>
      <c r="D54" s="512">
        <v>218000</v>
      </c>
      <c r="E54" s="512">
        <v>0</v>
      </c>
      <c r="F54" s="512"/>
      <c r="G54" s="512">
        <v>87110</v>
      </c>
      <c r="H54" s="512" t="s">
        <v>587</v>
      </c>
      <c r="I54" s="512" t="s">
        <v>750</v>
      </c>
      <c r="J54" s="512" t="s">
        <v>587</v>
      </c>
      <c r="K54" s="512" t="b">
        <v>1</v>
      </c>
      <c r="L54" s="512">
        <v>2</v>
      </c>
      <c r="M54" s="513">
        <v>2024</v>
      </c>
      <c r="N54" s="514">
        <v>914</v>
      </c>
      <c r="O54" s="515">
        <v>44620</v>
      </c>
      <c r="P54" s="515">
        <v>44620</v>
      </c>
      <c r="Q54" s="516">
        <v>0</v>
      </c>
    </row>
    <row r="55" spans="1:17" ht="16.5">
      <c r="A55" s="9">
        <v>2022</v>
      </c>
      <c r="B55" s="10" t="s">
        <v>748</v>
      </c>
      <c r="C55" s="511" t="s">
        <v>749</v>
      </c>
      <c r="D55" s="512">
        <v>218000</v>
      </c>
      <c r="E55" s="512">
        <v>0</v>
      </c>
      <c r="F55" s="512"/>
      <c r="G55" s="512">
        <v>11500</v>
      </c>
      <c r="H55" s="512" t="s">
        <v>36</v>
      </c>
      <c r="I55" s="512"/>
      <c r="J55" s="512" t="s">
        <v>187</v>
      </c>
      <c r="K55" s="512" t="b">
        <v>1</v>
      </c>
      <c r="L55" s="512">
        <v>10</v>
      </c>
      <c r="M55" s="513">
        <v>2032</v>
      </c>
      <c r="N55" s="514">
        <v>6030193</v>
      </c>
      <c r="O55" s="515">
        <v>44620</v>
      </c>
      <c r="P55" s="515">
        <v>44620</v>
      </c>
      <c r="Q55" s="516">
        <v>0</v>
      </c>
    </row>
    <row r="56" spans="1:17" ht="16.5">
      <c r="A56" s="9">
        <v>2022</v>
      </c>
      <c r="B56" s="10" t="s">
        <v>748</v>
      </c>
      <c r="C56" s="511" t="s">
        <v>749</v>
      </c>
      <c r="D56" s="512">
        <v>218000</v>
      </c>
      <c r="E56" s="512">
        <v>0</v>
      </c>
      <c r="F56" s="512"/>
      <c r="G56" s="512">
        <v>11500</v>
      </c>
      <c r="H56" s="512" t="s">
        <v>36</v>
      </c>
      <c r="I56" s="512"/>
      <c r="J56" s="512" t="s">
        <v>187</v>
      </c>
      <c r="K56" s="512" t="b">
        <v>1</v>
      </c>
      <c r="L56" s="512">
        <v>8</v>
      </c>
      <c r="M56" s="513">
        <v>2030</v>
      </c>
      <c r="N56" s="514">
        <v>5711730</v>
      </c>
      <c r="O56" s="515">
        <v>44620</v>
      </c>
      <c r="P56" s="515">
        <v>44620</v>
      </c>
      <c r="Q56" s="516">
        <v>0</v>
      </c>
    </row>
    <row r="57" spans="1:17" ht="16.5">
      <c r="A57" s="9">
        <v>2022</v>
      </c>
      <c r="B57" s="10" t="s">
        <v>748</v>
      </c>
      <c r="C57" s="511" t="s">
        <v>749</v>
      </c>
      <c r="D57" s="512">
        <v>218000</v>
      </c>
      <c r="E57" s="512">
        <v>0</v>
      </c>
      <c r="F57" s="512"/>
      <c r="G57" s="512">
        <v>11500</v>
      </c>
      <c r="H57" s="512" t="s">
        <v>36</v>
      </c>
      <c r="I57" s="512"/>
      <c r="J57" s="512" t="s">
        <v>187</v>
      </c>
      <c r="K57" s="512" t="b">
        <v>1</v>
      </c>
      <c r="L57" s="512">
        <v>0</v>
      </c>
      <c r="M57" s="513">
        <v>2022</v>
      </c>
      <c r="N57" s="514">
        <v>3709000</v>
      </c>
      <c r="O57" s="515">
        <v>44620</v>
      </c>
      <c r="P57" s="515">
        <v>44620</v>
      </c>
      <c r="Q57" s="516">
        <v>0</v>
      </c>
    </row>
    <row r="58" spans="1:17" ht="16.5">
      <c r="A58" s="9">
        <v>2022</v>
      </c>
      <c r="B58" s="10" t="s">
        <v>748</v>
      </c>
      <c r="C58" s="511" t="s">
        <v>749</v>
      </c>
      <c r="D58" s="512">
        <v>218000</v>
      </c>
      <c r="E58" s="512">
        <v>0</v>
      </c>
      <c r="F58" s="512"/>
      <c r="G58" s="512">
        <v>11500</v>
      </c>
      <c r="H58" s="512" t="s">
        <v>36</v>
      </c>
      <c r="I58" s="512"/>
      <c r="J58" s="512" t="s">
        <v>187</v>
      </c>
      <c r="K58" s="512" t="b">
        <v>1</v>
      </c>
      <c r="L58" s="512">
        <v>5</v>
      </c>
      <c r="M58" s="513">
        <v>2027</v>
      </c>
      <c r="N58" s="514">
        <v>5211866</v>
      </c>
      <c r="O58" s="515">
        <v>44620</v>
      </c>
      <c r="P58" s="515">
        <v>44620</v>
      </c>
      <c r="Q58" s="516">
        <v>0</v>
      </c>
    </row>
    <row r="59" spans="1:17" ht="16.5">
      <c r="A59" s="9">
        <v>2022</v>
      </c>
      <c r="B59" s="10" t="s">
        <v>748</v>
      </c>
      <c r="C59" s="511" t="s">
        <v>749</v>
      </c>
      <c r="D59" s="512">
        <v>218000</v>
      </c>
      <c r="E59" s="512">
        <v>0</v>
      </c>
      <c r="F59" s="512"/>
      <c r="G59" s="512">
        <v>11500</v>
      </c>
      <c r="H59" s="512" t="s">
        <v>36</v>
      </c>
      <c r="I59" s="512"/>
      <c r="J59" s="512" t="s">
        <v>187</v>
      </c>
      <c r="K59" s="512" t="b">
        <v>1</v>
      </c>
      <c r="L59" s="512">
        <v>4</v>
      </c>
      <c r="M59" s="513">
        <v>2026</v>
      </c>
      <c r="N59" s="514">
        <v>5040489</v>
      </c>
      <c r="O59" s="515">
        <v>44620</v>
      </c>
      <c r="P59" s="515">
        <v>44620</v>
      </c>
      <c r="Q59" s="516">
        <v>0</v>
      </c>
    </row>
    <row r="60" spans="1:17" ht="16.5">
      <c r="A60" s="9">
        <v>2022</v>
      </c>
      <c r="B60" s="10" t="s">
        <v>748</v>
      </c>
      <c r="C60" s="511" t="s">
        <v>749</v>
      </c>
      <c r="D60" s="512">
        <v>218000</v>
      </c>
      <c r="E60" s="512">
        <v>0</v>
      </c>
      <c r="F60" s="512"/>
      <c r="G60" s="512">
        <v>11500</v>
      </c>
      <c r="H60" s="512" t="s">
        <v>36</v>
      </c>
      <c r="I60" s="512"/>
      <c r="J60" s="512" t="s">
        <v>187</v>
      </c>
      <c r="K60" s="512" t="b">
        <v>1</v>
      </c>
      <c r="L60" s="512">
        <v>9</v>
      </c>
      <c r="M60" s="513">
        <v>2031</v>
      </c>
      <c r="N60" s="514">
        <v>5871658</v>
      </c>
      <c r="O60" s="515">
        <v>44620</v>
      </c>
      <c r="P60" s="515">
        <v>44620</v>
      </c>
      <c r="Q60" s="516">
        <v>0</v>
      </c>
    </row>
    <row r="61" spans="1:17" ht="16.5">
      <c r="A61" s="9">
        <v>2022</v>
      </c>
      <c r="B61" s="10" t="s">
        <v>748</v>
      </c>
      <c r="C61" s="511" t="s">
        <v>749</v>
      </c>
      <c r="D61" s="512">
        <v>218000</v>
      </c>
      <c r="E61" s="512">
        <v>0</v>
      </c>
      <c r="F61" s="512"/>
      <c r="G61" s="512">
        <v>11500</v>
      </c>
      <c r="H61" s="512" t="s">
        <v>36</v>
      </c>
      <c r="I61" s="512"/>
      <c r="J61" s="512" t="s">
        <v>187</v>
      </c>
      <c r="K61" s="512" t="b">
        <v>1</v>
      </c>
      <c r="L61" s="512">
        <v>6</v>
      </c>
      <c r="M61" s="513">
        <v>2028</v>
      </c>
      <c r="N61" s="514">
        <v>5383858</v>
      </c>
      <c r="O61" s="515">
        <v>44620</v>
      </c>
      <c r="P61" s="515">
        <v>44620</v>
      </c>
      <c r="Q61" s="516">
        <v>0</v>
      </c>
    </row>
    <row r="62" spans="1:17" ht="16.5">
      <c r="A62" s="9">
        <v>2022</v>
      </c>
      <c r="B62" s="10" t="s">
        <v>748</v>
      </c>
      <c r="C62" s="511" t="s">
        <v>749</v>
      </c>
      <c r="D62" s="512">
        <v>218000</v>
      </c>
      <c r="E62" s="512">
        <v>0</v>
      </c>
      <c r="F62" s="512"/>
      <c r="G62" s="512">
        <v>11500</v>
      </c>
      <c r="H62" s="512" t="s">
        <v>36</v>
      </c>
      <c r="I62" s="512"/>
      <c r="J62" s="512" t="s">
        <v>187</v>
      </c>
      <c r="K62" s="512" t="b">
        <v>1</v>
      </c>
      <c r="L62" s="512">
        <v>11</v>
      </c>
      <c r="M62" s="513">
        <v>2033</v>
      </c>
      <c r="N62" s="514">
        <v>6186978</v>
      </c>
      <c r="O62" s="515">
        <v>44620</v>
      </c>
      <c r="P62" s="515">
        <v>44620</v>
      </c>
      <c r="Q62" s="516">
        <v>0</v>
      </c>
    </row>
    <row r="63" spans="1:17" ht="16.5">
      <c r="A63" s="9">
        <v>2022</v>
      </c>
      <c r="B63" s="10" t="s">
        <v>748</v>
      </c>
      <c r="C63" s="511" t="s">
        <v>749</v>
      </c>
      <c r="D63" s="512">
        <v>218000</v>
      </c>
      <c r="E63" s="512">
        <v>0</v>
      </c>
      <c r="F63" s="512"/>
      <c r="G63" s="512">
        <v>11500</v>
      </c>
      <c r="H63" s="512" t="s">
        <v>36</v>
      </c>
      <c r="I63" s="512"/>
      <c r="J63" s="512" t="s">
        <v>187</v>
      </c>
      <c r="K63" s="512" t="b">
        <v>1</v>
      </c>
      <c r="L63" s="512">
        <v>2</v>
      </c>
      <c r="M63" s="513">
        <v>2024</v>
      </c>
      <c r="N63" s="514">
        <v>4705351</v>
      </c>
      <c r="O63" s="515">
        <v>44620</v>
      </c>
      <c r="P63" s="515">
        <v>44620</v>
      </c>
      <c r="Q63" s="516">
        <v>0</v>
      </c>
    </row>
    <row r="64" spans="1:17" ht="16.5">
      <c r="A64" s="9">
        <v>2022</v>
      </c>
      <c r="B64" s="10" t="s">
        <v>748</v>
      </c>
      <c r="C64" s="511" t="s">
        <v>749</v>
      </c>
      <c r="D64" s="512">
        <v>218000</v>
      </c>
      <c r="E64" s="512">
        <v>0</v>
      </c>
      <c r="F64" s="512"/>
      <c r="G64" s="512">
        <v>11500</v>
      </c>
      <c r="H64" s="512" t="s">
        <v>36</v>
      </c>
      <c r="I64" s="512"/>
      <c r="J64" s="512" t="s">
        <v>187</v>
      </c>
      <c r="K64" s="512" t="b">
        <v>1</v>
      </c>
      <c r="L64" s="512">
        <v>7</v>
      </c>
      <c r="M64" s="513">
        <v>2029</v>
      </c>
      <c r="N64" s="514">
        <v>5550758</v>
      </c>
      <c r="O64" s="515">
        <v>44620</v>
      </c>
      <c r="P64" s="515">
        <v>44620</v>
      </c>
      <c r="Q64" s="516">
        <v>0</v>
      </c>
    </row>
    <row r="65" spans="1:17" ht="16.5">
      <c r="A65" s="9">
        <v>2022</v>
      </c>
      <c r="B65" s="10" t="s">
        <v>748</v>
      </c>
      <c r="C65" s="511" t="s">
        <v>749</v>
      </c>
      <c r="D65" s="512">
        <v>218000</v>
      </c>
      <c r="E65" s="512">
        <v>0</v>
      </c>
      <c r="F65" s="512"/>
      <c r="G65" s="512">
        <v>11500</v>
      </c>
      <c r="H65" s="512" t="s">
        <v>36</v>
      </c>
      <c r="I65" s="512"/>
      <c r="J65" s="512" t="s">
        <v>187</v>
      </c>
      <c r="K65" s="512" t="b">
        <v>1</v>
      </c>
      <c r="L65" s="512">
        <v>1</v>
      </c>
      <c r="M65" s="513">
        <v>2023</v>
      </c>
      <c r="N65" s="514">
        <v>4546233</v>
      </c>
      <c r="O65" s="515">
        <v>44620</v>
      </c>
      <c r="P65" s="515">
        <v>44620</v>
      </c>
      <c r="Q65" s="516">
        <v>0</v>
      </c>
    </row>
    <row r="66" spans="1:17" ht="16.5">
      <c r="A66" s="9">
        <v>2022</v>
      </c>
      <c r="B66" s="10" t="s">
        <v>748</v>
      </c>
      <c r="C66" s="511" t="s">
        <v>749</v>
      </c>
      <c r="D66" s="512">
        <v>218000</v>
      </c>
      <c r="E66" s="512">
        <v>0</v>
      </c>
      <c r="F66" s="512"/>
      <c r="G66" s="512">
        <v>11500</v>
      </c>
      <c r="H66" s="512" t="s">
        <v>36</v>
      </c>
      <c r="I66" s="512"/>
      <c r="J66" s="512" t="s">
        <v>187</v>
      </c>
      <c r="K66" s="512" t="b">
        <v>1</v>
      </c>
      <c r="L66" s="512">
        <v>3</v>
      </c>
      <c r="M66" s="513">
        <v>2025</v>
      </c>
      <c r="N66" s="514">
        <v>4870038</v>
      </c>
      <c r="O66" s="515">
        <v>44620</v>
      </c>
      <c r="P66" s="515">
        <v>44620</v>
      </c>
      <c r="Q66" s="516">
        <v>0</v>
      </c>
    </row>
    <row r="67" spans="1:17" ht="16.5">
      <c r="A67" s="9">
        <v>2022</v>
      </c>
      <c r="B67" s="10" t="s">
        <v>748</v>
      </c>
      <c r="C67" s="511" t="s">
        <v>749</v>
      </c>
      <c r="D67" s="512">
        <v>218000</v>
      </c>
      <c r="E67" s="512">
        <v>0</v>
      </c>
      <c r="F67" s="512"/>
      <c r="G67" s="512">
        <v>45000</v>
      </c>
      <c r="H67" s="512">
        <v>4.5</v>
      </c>
      <c r="I67" s="512"/>
      <c r="J67" s="512" t="s">
        <v>209</v>
      </c>
      <c r="K67" s="512" t="b">
        <v>0</v>
      </c>
      <c r="L67" s="512">
        <v>3</v>
      </c>
      <c r="M67" s="513">
        <v>2025</v>
      </c>
      <c r="N67" s="514">
        <v>0</v>
      </c>
      <c r="O67" s="515">
        <v>44620</v>
      </c>
      <c r="P67" s="515">
        <v>44620</v>
      </c>
      <c r="Q67" s="516">
        <v>0</v>
      </c>
    </row>
    <row r="68" spans="1:17" ht="16.5">
      <c r="A68" s="9">
        <v>2022</v>
      </c>
      <c r="B68" s="10" t="s">
        <v>748</v>
      </c>
      <c r="C68" s="511" t="s">
        <v>749</v>
      </c>
      <c r="D68" s="512">
        <v>218000</v>
      </c>
      <c r="E68" s="512">
        <v>0</v>
      </c>
      <c r="F68" s="512"/>
      <c r="G68" s="512">
        <v>45000</v>
      </c>
      <c r="H68" s="512">
        <v>4.5</v>
      </c>
      <c r="I68" s="512"/>
      <c r="J68" s="512" t="s">
        <v>209</v>
      </c>
      <c r="K68" s="512" t="b">
        <v>0</v>
      </c>
      <c r="L68" s="512">
        <v>7</v>
      </c>
      <c r="M68" s="513">
        <v>2029</v>
      </c>
      <c r="N68" s="514">
        <v>0</v>
      </c>
      <c r="O68" s="515">
        <v>44620</v>
      </c>
      <c r="P68" s="515">
        <v>44620</v>
      </c>
      <c r="Q68" s="516">
        <v>0</v>
      </c>
    </row>
    <row r="69" spans="1:17" ht="16.5">
      <c r="A69" s="9">
        <v>2022</v>
      </c>
      <c r="B69" s="10" t="s">
        <v>748</v>
      </c>
      <c r="C69" s="511" t="s">
        <v>749</v>
      </c>
      <c r="D69" s="512">
        <v>218000</v>
      </c>
      <c r="E69" s="512">
        <v>0</v>
      </c>
      <c r="F69" s="512"/>
      <c r="G69" s="512">
        <v>45000</v>
      </c>
      <c r="H69" s="512">
        <v>4.5</v>
      </c>
      <c r="I69" s="512"/>
      <c r="J69" s="512" t="s">
        <v>209</v>
      </c>
      <c r="K69" s="512" t="b">
        <v>0</v>
      </c>
      <c r="L69" s="512">
        <v>11</v>
      </c>
      <c r="M69" s="513">
        <v>2033</v>
      </c>
      <c r="N69" s="514">
        <v>0</v>
      </c>
      <c r="O69" s="515">
        <v>44620</v>
      </c>
      <c r="P69" s="515">
        <v>44620</v>
      </c>
      <c r="Q69" s="516">
        <v>0</v>
      </c>
    </row>
    <row r="70" spans="1:17" ht="16.5">
      <c r="A70" s="9">
        <v>2022</v>
      </c>
      <c r="B70" s="10" t="s">
        <v>748</v>
      </c>
      <c r="C70" s="511" t="s">
        <v>749</v>
      </c>
      <c r="D70" s="512">
        <v>218000</v>
      </c>
      <c r="E70" s="512">
        <v>0</v>
      </c>
      <c r="F70" s="512"/>
      <c r="G70" s="512">
        <v>45000</v>
      </c>
      <c r="H70" s="512">
        <v>4.5</v>
      </c>
      <c r="I70" s="512"/>
      <c r="J70" s="512" t="s">
        <v>209</v>
      </c>
      <c r="K70" s="512" t="b">
        <v>0</v>
      </c>
      <c r="L70" s="512">
        <v>0</v>
      </c>
      <c r="M70" s="513">
        <v>2022</v>
      </c>
      <c r="N70" s="514">
        <v>0</v>
      </c>
      <c r="O70" s="515">
        <v>44620</v>
      </c>
      <c r="P70" s="515">
        <v>44620</v>
      </c>
      <c r="Q70" s="516">
        <v>0</v>
      </c>
    </row>
    <row r="71" spans="1:17" ht="16.5">
      <c r="A71" s="9">
        <v>2022</v>
      </c>
      <c r="B71" s="10" t="s">
        <v>748</v>
      </c>
      <c r="C71" s="511" t="s">
        <v>749</v>
      </c>
      <c r="D71" s="512">
        <v>218000</v>
      </c>
      <c r="E71" s="512">
        <v>0</v>
      </c>
      <c r="F71" s="512"/>
      <c r="G71" s="512">
        <v>45000</v>
      </c>
      <c r="H71" s="512">
        <v>4.5</v>
      </c>
      <c r="I71" s="512"/>
      <c r="J71" s="512" t="s">
        <v>209</v>
      </c>
      <c r="K71" s="512" t="b">
        <v>0</v>
      </c>
      <c r="L71" s="512">
        <v>8</v>
      </c>
      <c r="M71" s="513">
        <v>2030</v>
      </c>
      <c r="N71" s="514">
        <v>0</v>
      </c>
      <c r="O71" s="515">
        <v>44620</v>
      </c>
      <c r="P71" s="515">
        <v>44620</v>
      </c>
      <c r="Q71" s="516">
        <v>0</v>
      </c>
    </row>
    <row r="72" spans="1:17" ht="16.5">
      <c r="A72" s="9">
        <v>2022</v>
      </c>
      <c r="B72" s="10" t="s">
        <v>748</v>
      </c>
      <c r="C72" s="511" t="s">
        <v>749</v>
      </c>
      <c r="D72" s="512">
        <v>218000</v>
      </c>
      <c r="E72" s="512">
        <v>0</v>
      </c>
      <c r="F72" s="512"/>
      <c r="G72" s="512">
        <v>45000</v>
      </c>
      <c r="H72" s="512">
        <v>4.5</v>
      </c>
      <c r="I72" s="512"/>
      <c r="J72" s="512" t="s">
        <v>209</v>
      </c>
      <c r="K72" s="512" t="b">
        <v>0</v>
      </c>
      <c r="L72" s="512">
        <v>1</v>
      </c>
      <c r="M72" s="513">
        <v>2023</v>
      </c>
      <c r="N72" s="514">
        <v>0</v>
      </c>
      <c r="O72" s="515">
        <v>44620</v>
      </c>
      <c r="P72" s="515">
        <v>44620</v>
      </c>
      <c r="Q72" s="516">
        <v>0</v>
      </c>
    </row>
    <row r="73" spans="1:17" ht="16.5">
      <c r="A73" s="9">
        <v>2022</v>
      </c>
      <c r="B73" s="10" t="s">
        <v>748</v>
      </c>
      <c r="C73" s="511" t="s">
        <v>749</v>
      </c>
      <c r="D73" s="512">
        <v>218000</v>
      </c>
      <c r="E73" s="512">
        <v>0</v>
      </c>
      <c r="F73" s="512"/>
      <c r="G73" s="512">
        <v>45000</v>
      </c>
      <c r="H73" s="512">
        <v>4.5</v>
      </c>
      <c r="I73" s="512"/>
      <c r="J73" s="512" t="s">
        <v>209</v>
      </c>
      <c r="K73" s="512" t="b">
        <v>0</v>
      </c>
      <c r="L73" s="512">
        <v>4</v>
      </c>
      <c r="M73" s="513">
        <v>2026</v>
      </c>
      <c r="N73" s="514">
        <v>0</v>
      </c>
      <c r="O73" s="515">
        <v>44620</v>
      </c>
      <c r="P73" s="515">
        <v>44620</v>
      </c>
      <c r="Q73" s="516">
        <v>0</v>
      </c>
    </row>
    <row r="74" spans="1:17" ht="16.5">
      <c r="A74" s="9">
        <v>2022</v>
      </c>
      <c r="B74" s="10" t="s">
        <v>748</v>
      </c>
      <c r="C74" s="511" t="s">
        <v>749</v>
      </c>
      <c r="D74" s="512">
        <v>218000</v>
      </c>
      <c r="E74" s="512">
        <v>0</v>
      </c>
      <c r="F74" s="512"/>
      <c r="G74" s="512">
        <v>45000</v>
      </c>
      <c r="H74" s="512">
        <v>4.5</v>
      </c>
      <c r="I74" s="512"/>
      <c r="J74" s="512" t="s">
        <v>209</v>
      </c>
      <c r="K74" s="512" t="b">
        <v>0</v>
      </c>
      <c r="L74" s="512">
        <v>9</v>
      </c>
      <c r="M74" s="513">
        <v>2031</v>
      </c>
      <c r="N74" s="514">
        <v>0</v>
      </c>
      <c r="O74" s="515">
        <v>44620</v>
      </c>
      <c r="P74" s="515">
        <v>44620</v>
      </c>
      <c r="Q74" s="516">
        <v>0</v>
      </c>
    </row>
    <row r="75" spans="1:17" ht="16.5">
      <c r="A75" s="9">
        <v>2022</v>
      </c>
      <c r="B75" s="10" t="s">
        <v>748</v>
      </c>
      <c r="C75" s="511" t="s">
        <v>749</v>
      </c>
      <c r="D75" s="512">
        <v>218000</v>
      </c>
      <c r="E75" s="512">
        <v>0</v>
      </c>
      <c r="F75" s="512"/>
      <c r="G75" s="512">
        <v>45000</v>
      </c>
      <c r="H75" s="512">
        <v>4.5</v>
      </c>
      <c r="I75" s="512"/>
      <c r="J75" s="512" t="s">
        <v>209</v>
      </c>
      <c r="K75" s="512" t="b">
        <v>0</v>
      </c>
      <c r="L75" s="512">
        <v>6</v>
      </c>
      <c r="M75" s="513">
        <v>2028</v>
      </c>
      <c r="N75" s="514">
        <v>0</v>
      </c>
      <c r="O75" s="515">
        <v>44620</v>
      </c>
      <c r="P75" s="515">
        <v>44620</v>
      </c>
      <c r="Q75" s="516">
        <v>0</v>
      </c>
    </row>
    <row r="76" spans="1:17" ht="16.5">
      <c r="A76" s="9">
        <v>2022</v>
      </c>
      <c r="B76" s="10" t="s">
        <v>748</v>
      </c>
      <c r="C76" s="511" t="s">
        <v>749</v>
      </c>
      <c r="D76" s="512">
        <v>218000</v>
      </c>
      <c r="E76" s="512">
        <v>0</v>
      </c>
      <c r="F76" s="512"/>
      <c r="G76" s="512">
        <v>45000</v>
      </c>
      <c r="H76" s="512">
        <v>4.5</v>
      </c>
      <c r="I76" s="512"/>
      <c r="J76" s="512" t="s">
        <v>209</v>
      </c>
      <c r="K76" s="512" t="b">
        <v>0</v>
      </c>
      <c r="L76" s="512">
        <v>5</v>
      </c>
      <c r="M76" s="513">
        <v>2027</v>
      </c>
      <c r="N76" s="514">
        <v>0</v>
      </c>
      <c r="O76" s="515">
        <v>44620</v>
      </c>
      <c r="P76" s="515">
        <v>44620</v>
      </c>
      <c r="Q76" s="516">
        <v>0</v>
      </c>
    </row>
    <row r="77" spans="1:17" ht="16.5">
      <c r="A77" s="9">
        <v>2022</v>
      </c>
      <c r="B77" s="10" t="s">
        <v>748</v>
      </c>
      <c r="C77" s="511" t="s">
        <v>749</v>
      </c>
      <c r="D77" s="512">
        <v>218000</v>
      </c>
      <c r="E77" s="512">
        <v>0</v>
      </c>
      <c r="F77" s="512"/>
      <c r="G77" s="512">
        <v>45000</v>
      </c>
      <c r="H77" s="512">
        <v>4.5</v>
      </c>
      <c r="I77" s="512"/>
      <c r="J77" s="512" t="s">
        <v>209</v>
      </c>
      <c r="K77" s="512" t="b">
        <v>0</v>
      </c>
      <c r="L77" s="512">
        <v>2</v>
      </c>
      <c r="M77" s="513">
        <v>2024</v>
      </c>
      <c r="N77" s="514">
        <v>0</v>
      </c>
      <c r="O77" s="515">
        <v>44620</v>
      </c>
      <c r="P77" s="515">
        <v>44620</v>
      </c>
      <c r="Q77" s="516">
        <v>0</v>
      </c>
    </row>
    <row r="78" spans="1:17" ht="16.5">
      <c r="A78" s="9">
        <v>2022</v>
      </c>
      <c r="B78" s="10" t="s">
        <v>748</v>
      </c>
      <c r="C78" s="511" t="s">
        <v>749</v>
      </c>
      <c r="D78" s="512">
        <v>218000</v>
      </c>
      <c r="E78" s="512">
        <v>0</v>
      </c>
      <c r="F78" s="512"/>
      <c r="G78" s="512">
        <v>45000</v>
      </c>
      <c r="H78" s="512">
        <v>4.5</v>
      </c>
      <c r="I78" s="512"/>
      <c r="J78" s="512" t="s">
        <v>209</v>
      </c>
      <c r="K78" s="512" t="b">
        <v>0</v>
      </c>
      <c r="L78" s="512">
        <v>10</v>
      </c>
      <c r="M78" s="513">
        <v>2032</v>
      </c>
      <c r="N78" s="514">
        <v>0</v>
      </c>
      <c r="O78" s="515">
        <v>44620</v>
      </c>
      <c r="P78" s="515">
        <v>44620</v>
      </c>
      <c r="Q78" s="516">
        <v>0</v>
      </c>
    </row>
    <row r="79" spans="1:17" ht="16.5">
      <c r="A79" s="9">
        <v>2022</v>
      </c>
      <c r="B79" s="10" t="s">
        <v>748</v>
      </c>
      <c r="C79" s="511" t="s">
        <v>749</v>
      </c>
      <c r="D79" s="512">
        <v>218000</v>
      </c>
      <c r="E79" s="512">
        <v>0</v>
      </c>
      <c r="F79" s="512"/>
      <c r="G79" s="512">
        <v>70000</v>
      </c>
      <c r="H79" s="512">
        <v>7</v>
      </c>
      <c r="I79" s="512"/>
      <c r="J79" s="512" t="s">
        <v>62</v>
      </c>
      <c r="K79" s="512" t="b">
        <v>1</v>
      </c>
      <c r="L79" s="512">
        <v>7</v>
      </c>
      <c r="M79" s="513">
        <v>2029</v>
      </c>
      <c r="N79" s="514">
        <v>0</v>
      </c>
      <c r="O79" s="515">
        <v>44620</v>
      </c>
      <c r="P79" s="515">
        <v>44620</v>
      </c>
      <c r="Q79" s="516">
        <v>0</v>
      </c>
    </row>
    <row r="80" spans="1:17" ht="16.5">
      <c r="A80" s="9">
        <v>2022</v>
      </c>
      <c r="B80" s="10" t="s">
        <v>748</v>
      </c>
      <c r="C80" s="511" t="s">
        <v>749</v>
      </c>
      <c r="D80" s="512">
        <v>218000</v>
      </c>
      <c r="E80" s="512">
        <v>0</v>
      </c>
      <c r="F80" s="512"/>
      <c r="G80" s="512">
        <v>70000</v>
      </c>
      <c r="H80" s="512">
        <v>7</v>
      </c>
      <c r="I80" s="512"/>
      <c r="J80" s="512" t="s">
        <v>62</v>
      </c>
      <c r="K80" s="512" t="b">
        <v>1</v>
      </c>
      <c r="L80" s="512">
        <v>3</v>
      </c>
      <c r="M80" s="513">
        <v>2025</v>
      </c>
      <c r="N80" s="514">
        <v>0</v>
      </c>
      <c r="O80" s="515">
        <v>44620</v>
      </c>
      <c r="P80" s="515">
        <v>44620</v>
      </c>
      <c r="Q80" s="516">
        <v>0</v>
      </c>
    </row>
    <row r="81" spans="1:17" ht="16.5">
      <c r="A81" s="9">
        <v>2022</v>
      </c>
      <c r="B81" s="10" t="s">
        <v>748</v>
      </c>
      <c r="C81" s="511" t="s">
        <v>749</v>
      </c>
      <c r="D81" s="512">
        <v>218000</v>
      </c>
      <c r="E81" s="512">
        <v>0</v>
      </c>
      <c r="F81" s="512"/>
      <c r="G81" s="512">
        <v>70000</v>
      </c>
      <c r="H81" s="512">
        <v>7</v>
      </c>
      <c r="I81" s="512"/>
      <c r="J81" s="512" t="s">
        <v>62</v>
      </c>
      <c r="K81" s="512" t="b">
        <v>1</v>
      </c>
      <c r="L81" s="512">
        <v>10</v>
      </c>
      <c r="M81" s="513">
        <v>2032</v>
      </c>
      <c r="N81" s="514">
        <v>0</v>
      </c>
      <c r="O81" s="515">
        <v>44620</v>
      </c>
      <c r="P81" s="515">
        <v>44620</v>
      </c>
      <c r="Q81" s="516">
        <v>0</v>
      </c>
    </row>
    <row r="82" spans="1:17" ht="16.5">
      <c r="A82" s="9">
        <v>2022</v>
      </c>
      <c r="B82" s="10" t="s">
        <v>748</v>
      </c>
      <c r="C82" s="511" t="s">
        <v>749</v>
      </c>
      <c r="D82" s="512">
        <v>218000</v>
      </c>
      <c r="E82" s="512">
        <v>0</v>
      </c>
      <c r="F82" s="512"/>
      <c r="G82" s="512">
        <v>70000</v>
      </c>
      <c r="H82" s="512">
        <v>7</v>
      </c>
      <c r="I82" s="512"/>
      <c r="J82" s="512" t="s">
        <v>62</v>
      </c>
      <c r="K82" s="512" t="b">
        <v>1</v>
      </c>
      <c r="L82" s="512">
        <v>0</v>
      </c>
      <c r="M82" s="513">
        <v>2022</v>
      </c>
      <c r="N82" s="514">
        <v>0</v>
      </c>
      <c r="O82" s="515">
        <v>44620</v>
      </c>
      <c r="P82" s="515">
        <v>44620</v>
      </c>
      <c r="Q82" s="516">
        <v>0</v>
      </c>
    </row>
    <row r="83" spans="1:17" ht="16.5">
      <c r="A83" s="9">
        <v>2022</v>
      </c>
      <c r="B83" s="10" t="s">
        <v>748</v>
      </c>
      <c r="C83" s="511" t="s">
        <v>749</v>
      </c>
      <c r="D83" s="512">
        <v>218000</v>
      </c>
      <c r="E83" s="512">
        <v>0</v>
      </c>
      <c r="F83" s="512"/>
      <c r="G83" s="512">
        <v>70000</v>
      </c>
      <c r="H83" s="512">
        <v>7</v>
      </c>
      <c r="I83" s="512"/>
      <c r="J83" s="512" t="s">
        <v>62</v>
      </c>
      <c r="K83" s="512" t="b">
        <v>1</v>
      </c>
      <c r="L83" s="512">
        <v>4</v>
      </c>
      <c r="M83" s="513">
        <v>2026</v>
      </c>
      <c r="N83" s="514">
        <v>0</v>
      </c>
      <c r="O83" s="515">
        <v>44620</v>
      </c>
      <c r="P83" s="515">
        <v>44620</v>
      </c>
      <c r="Q83" s="516">
        <v>0</v>
      </c>
    </row>
    <row r="84" spans="1:17" ht="16.5">
      <c r="A84" s="9">
        <v>2022</v>
      </c>
      <c r="B84" s="10" t="s">
        <v>748</v>
      </c>
      <c r="C84" s="511" t="s">
        <v>749</v>
      </c>
      <c r="D84" s="512">
        <v>218000</v>
      </c>
      <c r="E84" s="512">
        <v>0</v>
      </c>
      <c r="F84" s="512"/>
      <c r="G84" s="512">
        <v>70000</v>
      </c>
      <c r="H84" s="512">
        <v>7</v>
      </c>
      <c r="I84" s="512"/>
      <c r="J84" s="512" t="s">
        <v>62</v>
      </c>
      <c r="K84" s="512" t="b">
        <v>1</v>
      </c>
      <c r="L84" s="512">
        <v>2</v>
      </c>
      <c r="M84" s="513">
        <v>2024</v>
      </c>
      <c r="N84" s="514">
        <v>0</v>
      </c>
      <c r="O84" s="515">
        <v>44620</v>
      </c>
      <c r="P84" s="515">
        <v>44620</v>
      </c>
      <c r="Q84" s="516">
        <v>0</v>
      </c>
    </row>
    <row r="85" spans="1:17" ht="16.5">
      <c r="A85" s="9">
        <v>2022</v>
      </c>
      <c r="B85" s="10" t="s">
        <v>748</v>
      </c>
      <c r="C85" s="511" t="s">
        <v>749</v>
      </c>
      <c r="D85" s="512">
        <v>218000</v>
      </c>
      <c r="E85" s="512">
        <v>0</v>
      </c>
      <c r="F85" s="512"/>
      <c r="G85" s="512">
        <v>70000</v>
      </c>
      <c r="H85" s="512">
        <v>7</v>
      </c>
      <c r="I85" s="512"/>
      <c r="J85" s="512" t="s">
        <v>62</v>
      </c>
      <c r="K85" s="512" t="b">
        <v>1</v>
      </c>
      <c r="L85" s="512">
        <v>11</v>
      </c>
      <c r="M85" s="513">
        <v>2033</v>
      </c>
      <c r="N85" s="514">
        <v>0</v>
      </c>
      <c r="O85" s="515">
        <v>44620</v>
      </c>
      <c r="P85" s="515">
        <v>44620</v>
      </c>
      <c r="Q85" s="516">
        <v>0</v>
      </c>
    </row>
    <row r="86" spans="1:17" ht="16.5">
      <c r="A86" s="9">
        <v>2022</v>
      </c>
      <c r="B86" s="10" t="s">
        <v>748</v>
      </c>
      <c r="C86" s="511" t="s">
        <v>749</v>
      </c>
      <c r="D86" s="512">
        <v>218000</v>
      </c>
      <c r="E86" s="512">
        <v>0</v>
      </c>
      <c r="F86" s="512"/>
      <c r="G86" s="512">
        <v>70000</v>
      </c>
      <c r="H86" s="512">
        <v>7</v>
      </c>
      <c r="I86" s="512"/>
      <c r="J86" s="512" t="s">
        <v>62</v>
      </c>
      <c r="K86" s="512" t="b">
        <v>1</v>
      </c>
      <c r="L86" s="512">
        <v>1</v>
      </c>
      <c r="M86" s="513">
        <v>2023</v>
      </c>
      <c r="N86" s="514">
        <v>0</v>
      </c>
      <c r="O86" s="515">
        <v>44620</v>
      </c>
      <c r="P86" s="515">
        <v>44620</v>
      </c>
      <c r="Q86" s="516">
        <v>0</v>
      </c>
    </row>
    <row r="87" spans="1:17" ht="16.5">
      <c r="A87" s="9">
        <v>2022</v>
      </c>
      <c r="B87" s="10" t="s">
        <v>748</v>
      </c>
      <c r="C87" s="511" t="s">
        <v>749</v>
      </c>
      <c r="D87" s="512">
        <v>218000</v>
      </c>
      <c r="E87" s="512">
        <v>0</v>
      </c>
      <c r="F87" s="512"/>
      <c r="G87" s="512">
        <v>70000</v>
      </c>
      <c r="H87" s="512">
        <v>7</v>
      </c>
      <c r="I87" s="512"/>
      <c r="J87" s="512" t="s">
        <v>62</v>
      </c>
      <c r="K87" s="512" t="b">
        <v>1</v>
      </c>
      <c r="L87" s="512">
        <v>6</v>
      </c>
      <c r="M87" s="513">
        <v>2028</v>
      </c>
      <c r="N87" s="514">
        <v>0</v>
      </c>
      <c r="O87" s="515">
        <v>44620</v>
      </c>
      <c r="P87" s="515">
        <v>44620</v>
      </c>
      <c r="Q87" s="516">
        <v>0</v>
      </c>
    </row>
    <row r="88" spans="1:17" ht="16.5">
      <c r="A88" s="9">
        <v>2022</v>
      </c>
      <c r="B88" s="10" t="s">
        <v>748</v>
      </c>
      <c r="C88" s="511" t="s">
        <v>749</v>
      </c>
      <c r="D88" s="512">
        <v>218000</v>
      </c>
      <c r="E88" s="512">
        <v>0</v>
      </c>
      <c r="F88" s="512"/>
      <c r="G88" s="512">
        <v>70000</v>
      </c>
      <c r="H88" s="512">
        <v>7</v>
      </c>
      <c r="I88" s="512"/>
      <c r="J88" s="512" t="s">
        <v>62</v>
      </c>
      <c r="K88" s="512" t="b">
        <v>1</v>
      </c>
      <c r="L88" s="512">
        <v>9</v>
      </c>
      <c r="M88" s="513">
        <v>2031</v>
      </c>
      <c r="N88" s="514">
        <v>0</v>
      </c>
      <c r="O88" s="515">
        <v>44620</v>
      </c>
      <c r="P88" s="515">
        <v>44620</v>
      </c>
      <c r="Q88" s="516">
        <v>0</v>
      </c>
    </row>
    <row r="89" spans="1:17" ht="16.5">
      <c r="A89" s="9">
        <v>2022</v>
      </c>
      <c r="B89" s="10" t="s">
        <v>748</v>
      </c>
      <c r="C89" s="511" t="s">
        <v>749</v>
      </c>
      <c r="D89" s="512">
        <v>218000</v>
      </c>
      <c r="E89" s="512">
        <v>0</v>
      </c>
      <c r="F89" s="512"/>
      <c r="G89" s="512">
        <v>70000</v>
      </c>
      <c r="H89" s="512">
        <v>7</v>
      </c>
      <c r="I89" s="512"/>
      <c r="J89" s="512" t="s">
        <v>62</v>
      </c>
      <c r="K89" s="512" t="b">
        <v>1</v>
      </c>
      <c r="L89" s="512">
        <v>5</v>
      </c>
      <c r="M89" s="513">
        <v>2027</v>
      </c>
      <c r="N89" s="514">
        <v>0</v>
      </c>
      <c r="O89" s="515">
        <v>44620</v>
      </c>
      <c r="P89" s="515">
        <v>44620</v>
      </c>
      <c r="Q89" s="516">
        <v>0</v>
      </c>
    </row>
    <row r="90" spans="1:17" ht="16.5">
      <c r="A90" s="9">
        <v>2022</v>
      </c>
      <c r="B90" s="10" t="s">
        <v>748</v>
      </c>
      <c r="C90" s="511" t="s">
        <v>749</v>
      </c>
      <c r="D90" s="512">
        <v>218000</v>
      </c>
      <c r="E90" s="512">
        <v>0</v>
      </c>
      <c r="F90" s="512"/>
      <c r="G90" s="512">
        <v>70000</v>
      </c>
      <c r="H90" s="512">
        <v>7</v>
      </c>
      <c r="I90" s="512"/>
      <c r="J90" s="512" t="s">
        <v>62</v>
      </c>
      <c r="K90" s="512" t="b">
        <v>1</v>
      </c>
      <c r="L90" s="512">
        <v>8</v>
      </c>
      <c r="M90" s="513">
        <v>2030</v>
      </c>
      <c r="N90" s="514">
        <v>0</v>
      </c>
      <c r="O90" s="515">
        <v>44620</v>
      </c>
      <c r="P90" s="515">
        <v>44620</v>
      </c>
      <c r="Q90" s="516">
        <v>0</v>
      </c>
    </row>
    <row r="91" spans="1:17" ht="16.5">
      <c r="A91" s="9">
        <v>2022</v>
      </c>
      <c r="B91" s="10" t="s">
        <v>748</v>
      </c>
      <c r="C91" s="511" t="s">
        <v>749</v>
      </c>
      <c r="D91" s="512">
        <v>218000</v>
      </c>
      <c r="E91" s="512">
        <v>0</v>
      </c>
      <c r="F91" s="512"/>
      <c r="G91" s="512">
        <v>51130</v>
      </c>
      <c r="H91" s="512" t="s">
        <v>169</v>
      </c>
      <c r="I91" s="512" t="s">
        <v>751</v>
      </c>
      <c r="J91" s="512" t="s">
        <v>214</v>
      </c>
      <c r="K91" s="512" t="b">
        <v>1</v>
      </c>
      <c r="L91" s="512">
        <v>7</v>
      </c>
      <c r="M91" s="513">
        <v>2029</v>
      </c>
      <c r="N91" s="514">
        <v>0</v>
      </c>
      <c r="O91" s="515">
        <v>44620</v>
      </c>
      <c r="P91" s="515">
        <v>44620</v>
      </c>
      <c r="Q91" s="516">
        <v>0</v>
      </c>
    </row>
    <row r="92" spans="1:17" ht="16.5">
      <c r="A92" s="9">
        <v>2022</v>
      </c>
      <c r="B92" s="10" t="s">
        <v>748</v>
      </c>
      <c r="C92" s="511" t="s">
        <v>749</v>
      </c>
      <c r="D92" s="512">
        <v>218000</v>
      </c>
      <c r="E92" s="512">
        <v>0</v>
      </c>
      <c r="F92" s="512"/>
      <c r="G92" s="512">
        <v>51130</v>
      </c>
      <c r="H92" s="512" t="s">
        <v>169</v>
      </c>
      <c r="I92" s="512" t="s">
        <v>751</v>
      </c>
      <c r="J92" s="512" t="s">
        <v>214</v>
      </c>
      <c r="K92" s="512" t="b">
        <v>1</v>
      </c>
      <c r="L92" s="512">
        <v>5</v>
      </c>
      <c r="M92" s="513">
        <v>2027</v>
      </c>
      <c r="N92" s="514">
        <v>0</v>
      </c>
      <c r="O92" s="515">
        <v>44620</v>
      </c>
      <c r="P92" s="515">
        <v>44620</v>
      </c>
      <c r="Q92" s="516">
        <v>0</v>
      </c>
    </row>
    <row r="93" spans="1:17" ht="16.5">
      <c r="A93" s="9">
        <v>2022</v>
      </c>
      <c r="B93" s="10" t="s">
        <v>748</v>
      </c>
      <c r="C93" s="511" t="s">
        <v>749</v>
      </c>
      <c r="D93" s="512">
        <v>218000</v>
      </c>
      <c r="E93" s="512">
        <v>0</v>
      </c>
      <c r="F93" s="512"/>
      <c r="G93" s="512">
        <v>51130</v>
      </c>
      <c r="H93" s="512" t="s">
        <v>169</v>
      </c>
      <c r="I93" s="512" t="s">
        <v>751</v>
      </c>
      <c r="J93" s="512" t="s">
        <v>214</v>
      </c>
      <c r="K93" s="512" t="b">
        <v>1</v>
      </c>
      <c r="L93" s="512">
        <v>6</v>
      </c>
      <c r="M93" s="513">
        <v>2028</v>
      </c>
      <c r="N93" s="514">
        <v>0</v>
      </c>
      <c r="O93" s="515">
        <v>44620</v>
      </c>
      <c r="P93" s="515">
        <v>44620</v>
      </c>
      <c r="Q93" s="516">
        <v>0</v>
      </c>
    </row>
    <row r="94" spans="1:17" ht="16.5">
      <c r="A94" s="9">
        <v>2022</v>
      </c>
      <c r="B94" s="10" t="s">
        <v>748</v>
      </c>
      <c r="C94" s="511" t="s">
        <v>749</v>
      </c>
      <c r="D94" s="512">
        <v>218000</v>
      </c>
      <c r="E94" s="512">
        <v>0</v>
      </c>
      <c r="F94" s="512"/>
      <c r="G94" s="512">
        <v>51130</v>
      </c>
      <c r="H94" s="512" t="s">
        <v>169</v>
      </c>
      <c r="I94" s="512" t="s">
        <v>751</v>
      </c>
      <c r="J94" s="512" t="s">
        <v>214</v>
      </c>
      <c r="K94" s="512" t="b">
        <v>1</v>
      </c>
      <c r="L94" s="512">
        <v>3</v>
      </c>
      <c r="M94" s="513">
        <v>2025</v>
      </c>
      <c r="N94" s="514">
        <v>0</v>
      </c>
      <c r="O94" s="515">
        <v>44620</v>
      </c>
      <c r="P94" s="515">
        <v>44620</v>
      </c>
      <c r="Q94" s="516">
        <v>0</v>
      </c>
    </row>
    <row r="95" spans="1:17" ht="16.5">
      <c r="A95" s="9">
        <v>2022</v>
      </c>
      <c r="B95" s="10" t="s">
        <v>748</v>
      </c>
      <c r="C95" s="511" t="s">
        <v>749</v>
      </c>
      <c r="D95" s="512">
        <v>218000</v>
      </c>
      <c r="E95" s="512">
        <v>0</v>
      </c>
      <c r="F95" s="512"/>
      <c r="G95" s="512">
        <v>51130</v>
      </c>
      <c r="H95" s="512" t="s">
        <v>169</v>
      </c>
      <c r="I95" s="512" t="s">
        <v>751</v>
      </c>
      <c r="J95" s="512" t="s">
        <v>214</v>
      </c>
      <c r="K95" s="512" t="b">
        <v>1</v>
      </c>
      <c r="L95" s="512">
        <v>11</v>
      </c>
      <c r="M95" s="513">
        <v>2033</v>
      </c>
      <c r="N95" s="514">
        <v>0</v>
      </c>
      <c r="O95" s="515">
        <v>44620</v>
      </c>
      <c r="P95" s="515">
        <v>44620</v>
      </c>
      <c r="Q95" s="516">
        <v>0</v>
      </c>
    </row>
    <row r="96" spans="1:17" ht="16.5">
      <c r="A96" s="9">
        <v>2022</v>
      </c>
      <c r="B96" s="10" t="s">
        <v>748</v>
      </c>
      <c r="C96" s="511" t="s">
        <v>749</v>
      </c>
      <c r="D96" s="512">
        <v>218000</v>
      </c>
      <c r="E96" s="512">
        <v>0</v>
      </c>
      <c r="F96" s="512"/>
      <c r="G96" s="512">
        <v>51130</v>
      </c>
      <c r="H96" s="512" t="s">
        <v>169</v>
      </c>
      <c r="I96" s="512" t="s">
        <v>751</v>
      </c>
      <c r="J96" s="512" t="s">
        <v>214</v>
      </c>
      <c r="K96" s="512" t="b">
        <v>1</v>
      </c>
      <c r="L96" s="512">
        <v>10</v>
      </c>
      <c r="M96" s="513">
        <v>2032</v>
      </c>
      <c r="N96" s="514">
        <v>0</v>
      </c>
      <c r="O96" s="515">
        <v>44620</v>
      </c>
      <c r="P96" s="515">
        <v>44620</v>
      </c>
      <c r="Q96" s="516">
        <v>0</v>
      </c>
    </row>
    <row r="97" spans="1:17" ht="16.5">
      <c r="A97" s="9">
        <v>2022</v>
      </c>
      <c r="B97" s="10" t="s">
        <v>748</v>
      </c>
      <c r="C97" s="511" t="s">
        <v>749</v>
      </c>
      <c r="D97" s="512">
        <v>218000</v>
      </c>
      <c r="E97" s="512">
        <v>0</v>
      </c>
      <c r="F97" s="512"/>
      <c r="G97" s="512">
        <v>51130</v>
      </c>
      <c r="H97" s="512" t="s">
        <v>169</v>
      </c>
      <c r="I97" s="512" t="s">
        <v>751</v>
      </c>
      <c r="J97" s="512" t="s">
        <v>214</v>
      </c>
      <c r="K97" s="512" t="b">
        <v>1</v>
      </c>
      <c r="L97" s="512">
        <v>4</v>
      </c>
      <c r="M97" s="513">
        <v>2026</v>
      </c>
      <c r="N97" s="514">
        <v>0</v>
      </c>
      <c r="O97" s="515">
        <v>44620</v>
      </c>
      <c r="P97" s="515">
        <v>44620</v>
      </c>
      <c r="Q97" s="516">
        <v>0</v>
      </c>
    </row>
    <row r="98" spans="1:17" ht="16.5">
      <c r="A98" s="9">
        <v>2022</v>
      </c>
      <c r="B98" s="10" t="s">
        <v>748</v>
      </c>
      <c r="C98" s="511" t="s">
        <v>749</v>
      </c>
      <c r="D98" s="512">
        <v>218000</v>
      </c>
      <c r="E98" s="512">
        <v>0</v>
      </c>
      <c r="F98" s="512"/>
      <c r="G98" s="512">
        <v>51130</v>
      </c>
      <c r="H98" s="512" t="s">
        <v>169</v>
      </c>
      <c r="I98" s="512" t="s">
        <v>751</v>
      </c>
      <c r="J98" s="512" t="s">
        <v>214</v>
      </c>
      <c r="K98" s="512" t="b">
        <v>1</v>
      </c>
      <c r="L98" s="512">
        <v>2</v>
      </c>
      <c r="M98" s="513">
        <v>2024</v>
      </c>
      <c r="N98" s="514">
        <v>0</v>
      </c>
      <c r="O98" s="515">
        <v>44620</v>
      </c>
      <c r="P98" s="515">
        <v>44620</v>
      </c>
      <c r="Q98" s="516">
        <v>0</v>
      </c>
    </row>
    <row r="99" spans="1:17" ht="16.5">
      <c r="A99" s="9">
        <v>2022</v>
      </c>
      <c r="B99" s="10" t="s">
        <v>748</v>
      </c>
      <c r="C99" s="511" t="s">
        <v>749</v>
      </c>
      <c r="D99" s="512">
        <v>218000</v>
      </c>
      <c r="E99" s="512">
        <v>0</v>
      </c>
      <c r="F99" s="512"/>
      <c r="G99" s="512">
        <v>51130</v>
      </c>
      <c r="H99" s="512" t="s">
        <v>169</v>
      </c>
      <c r="I99" s="512" t="s">
        <v>751</v>
      </c>
      <c r="J99" s="512" t="s">
        <v>214</v>
      </c>
      <c r="K99" s="512" t="b">
        <v>1</v>
      </c>
      <c r="L99" s="512">
        <v>8</v>
      </c>
      <c r="M99" s="513">
        <v>2030</v>
      </c>
      <c r="N99" s="514">
        <v>0</v>
      </c>
      <c r="O99" s="515">
        <v>44620</v>
      </c>
      <c r="P99" s="515">
        <v>44620</v>
      </c>
      <c r="Q99" s="516">
        <v>0</v>
      </c>
    </row>
    <row r="100" spans="1:17" ht="16.5">
      <c r="A100" s="9">
        <v>2022</v>
      </c>
      <c r="B100" s="10" t="s">
        <v>748</v>
      </c>
      <c r="C100" s="511" t="s">
        <v>749</v>
      </c>
      <c r="D100" s="512">
        <v>218000</v>
      </c>
      <c r="E100" s="512">
        <v>0</v>
      </c>
      <c r="F100" s="512"/>
      <c r="G100" s="512">
        <v>51130</v>
      </c>
      <c r="H100" s="512" t="s">
        <v>169</v>
      </c>
      <c r="I100" s="512" t="s">
        <v>751</v>
      </c>
      <c r="J100" s="512" t="s">
        <v>214</v>
      </c>
      <c r="K100" s="512" t="b">
        <v>1</v>
      </c>
      <c r="L100" s="512">
        <v>9</v>
      </c>
      <c r="M100" s="513">
        <v>2031</v>
      </c>
      <c r="N100" s="514">
        <v>0</v>
      </c>
      <c r="O100" s="515">
        <v>44620</v>
      </c>
      <c r="P100" s="515">
        <v>44620</v>
      </c>
      <c r="Q100" s="516">
        <v>0</v>
      </c>
    </row>
    <row r="101" spans="1:17" ht="16.5">
      <c r="A101" s="9">
        <v>2022</v>
      </c>
      <c r="B101" s="10" t="s">
        <v>748</v>
      </c>
      <c r="C101" s="511" t="s">
        <v>749</v>
      </c>
      <c r="D101" s="512">
        <v>218000</v>
      </c>
      <c r="E101" s="512">
        <v>0</v>
      </c>
      <c r="F101" s="512"/>
      <c r="G101" s="512">
        <v>51130</v>
      </c>
      <c r="H101" s="512" t="s">
        <v>169</v>
      </c>
      <c r="I101" s="512" t="s">
        <v>751</v>
      </c>
      <c r="J101" s="512" t="s">
        <v>214</v>
      </c>
      <c r="K101" s="512" t="b">
        <v>1</v>
      </c>
      <c r="L101" s="512">
        <v>0</v>
      </c>
      <c r="M101" s="513">
        <v>2022</v>
      </c>
      <c r="N101" s="514">
        <v>0</v>
      </c>
      <c r="O101" s="515">
        <v>44620</v>
      </c>
      <c r="P101" s="515">
        <v>44620</v>
      </c>
      <c r="Q101" s="516">
        <v>0</v>
      </c>
    </row>
    <row r="102" spans="1:17" ht="16.5">
      <c r="A102" s="9">
        <v>2022</v>
      </c>
      <c r="B102" s="10" t="s">
        <v>748</v>
      </c>
      <c r="C102" s="511" t="s">
        <v>749</v>
      </c>
      <c r="D102" s="512">
        <v>218000</v>
      </c>
      <c r="E102" s="512">
        <v>0</v>
      </c>
      <c r="F102" s="512"/>
      <c r="G102" s="512">
        <v>51130</v>
      </c>
      <c r="H102" s="512" t="s">
        <v>169</v>
      </c>
      <c r="I102" s="512" t="s">
        <v>751</v>
      </c>
      <c r="J102" s="512" t="s">
        <v>214</v>
      </c>
      <c r="K102" s="512" t="b">
        <v>1</v>
      </c>
      <c r="L102" s="512">
        <v>1</v>
      </c>
      <c r="M102" s="513">
        <v>2023</v>
      </c>
      <c r="N102" s="514">
        <v>0</v>
      </c>
      <c r="O102" s="515">
        <v>44620</v>
      </c>
      <c r="P102" s="515">
        <v>44620</v>
      </c>
      <c r="Q102" s="516">
        <v>0</v>
      </c>
    </row>
    <row r="103" spans="1:17" ht="16.5">
      <c r="A103" s="9">
        <v>2022</v>
      </c>
      <c r="B103" s="10" t="s">
        <v>748</v>
      </c>
      <c r="C103" s="511" t="s">
        <v>749</v>
      </c>
      <c r="D103" s="512">
        <v>218000</v>
      </c>
      <c r="E103" s="512">
        <v>0</v>
      </c>
      <c r="F103" s="512"/>
      <c r="G103" s="512">
        <v>10000</v>
      </c>
      <c r="H103" s="512">
        <v>1</v>
      </c>
      <c r="I103" s="512" t="s">
        <v>752</v>
      </c>
      <c r="J103" s="512" t="s">
        <v>23</v>
      </c>
      <c r="K103" s="512" t="b">
        <v>1</v>
      </c>
      <c r="L103" s="512">
        <v>10</v>
      </c>
      <c r="M103" s="513">
        <v>2032</v>
      </c>
      <c r="N103" s="514">
        <v>68188813</v>
      </c>
      <c r="O103" s="515">
        <v>44620</v>
      </c>
      <c r="P103" s="515">
        <v>44620</v>
      </c>
      <c r="Q103" s="516">
        <v>0</v>
      </c>
    </row>
    <row r="104" spans="1:17" ht="16.5">
      <c r="A104" s="9">
        <v>2022</v>
      </c>
      <c r="B104" s="10" t="s">
        <v>748</v>
      </c>
      <c r="C104" s="511" t="s">
        <v>749</v>
      </c>
      <c r="D104" s="512">
        <v>218000</v>
      </c>
      <c r="E104" s="512">
        <v>0</v>
      </c>
      <c r="F104" s="512"/>
      <c r="G104" s="512">
        <v>10000</v>
      </c>
      <c r="H104" s="512">
        <v>1</v>
      </c>
      <c r="I104" s="512" t="s">
        <v>752</v>
      </c>
      <c r="J104" s="512" t="s">
        <v>23</v>
      </c>
      <c r="K104" s="512" t="b">
        <v>1</v>
      </c>
      <c r="L104" s="512">
        <v>8</v>
      </c>
      <c r="M104" s="513">
        <v>2030</v>
      </c>
      <c r="N104" s="514">
        <v>65087663</v>
      </c>
      <c r="O104" s="515">
        <v>44620</v>
      </c>
      <c r="P104" s="515">
        <v>44620</v>
      </c>
      <c r="Q104" s="516">
        <v>0</v>
      </c>
    </row>
    <row r="105" spans="1:17" ht="16.5">
      <c r="A105" s="9">
        <v>2022</v>
      </c>
      <c r="B105" s="10" t="s">
        <v>748</v>
      </c>
      <c r="C105" s="511" t="s">
        <v>749</v>
      </c>
      <c r="D105" s="512">
        <v>218000</v>
      </c>
      <c r="E105" s="512">
        <v>0</v>
      </c>
      <c r="F105" s="512"/>
      <c r="G105" s="512">
        <v>10000</v>
      </c>
      <c r="H105" s="512">
        <v>1</v>
      </c>
      <c r="I105" s="512" t="s">
        <v>752</v>
      </c>
      <c r="J105" s="512" t="s">
        <v>23</v>
      </c>
      <c r="K105" s="512" t="b">
        <v>1</v>
      </c>
      <c r="L105" s="512">
        <v>0</v>
      </c>
      <c r="M105" s="513">
        <v>2022</v>
      </c>
      <c r="N105" s="514">
        <v>60726395</v>
      </c>
      <c r="O105" s="515">
        <v>44620</v>
      </c>
      <c r="P105" s="515">
        <v>44620</v>
      </c>
      <c r="Q105" s="516">
        <v>0</v>
      </c>
    </row>
    <row r="106" spans="1:17" ht="16.5">
      <c r="A106" s="9">
        <v>2022</v>
      </c>
      <c r="B106" s="10" t="s">
        <v>748</v>
      </c>
      <c r="C106" s="511" t="s">
        <v>749</v>
      </c>
      <c r="D106" s="512">
        <v>218000</v>
      </c>
      <c r="E106" s="512">
        <v>0</v>
      </c>
      <c r="F106" s="512"/>
      <c r="G106" s="512">
        <v>10000</v>
      </c>
      <c r="H106" s="512">
        <v>1</v>
      </c>
      <c r="I106" s="512" t="s">
        <v>752</v>
      </c>
      <c r="J106" s="512" t="s">
        <v>23</v>
      </c>
      <c r="K106" s="512" t="b">
        <v>1</v>
      </c>
      <c r="L106" s="512">
        <v>4</v>
      </c>
      <c r="M106" s="513">
        <v>2026</v>
      </c>
      <c r="N106" s="514">
        <v>57497351</v>
      </c>
      <c r="O106" s="515">
        <v>44620</v>
      </c>
      <c r="P106" s="515">
        <v>44620</v>
      </c>
      <c r="Q106" s="516">
        <v>0</v>
      </c>
    </row>
    <row r="107" spans="1:17" ht="16.5">
      <c r="A107" s="9">
        <v>2022</v>
      </c>
      <c r="B107" s="10" t="s">
        <v>748</v>
      </c>
      <c r="C107" s="511" t="s">
        <v>749</v>
      </c>
      <c r="D107" s="512">
        <v>218000</v>
      </c>
      <c r="E107" s="512">
        <v>0</v>
      </c>
      <c r="F107" s="512"/>
      <c r="G107" s="512">
        <v>10000</v>
      </c>
      <c r="H107" s="512">
        <v>1</v>
      </c>
      <c r="I107" s="512" t="s">
        <v>752</v>
      </c>
      <c r="J107" s="512" t="s">
        <v>23</v>
      </c>
      <c r="K107" s="512" t="b">
        <v>1</v>
      </c>
      <c r="L107" s="512">
        <v>7</v>
      </c>
      <c r="M107" s="513">
        <v>2029</v>
      </c>
      <c r="N107" s="514">
        <v>63267408</v>
      </c>
      <c r="O107" s="515">
        <v>44620</v>
      </c>
      <c r="P107" s="515">
        <v>44620</v>
      </c>
      <c r="Q107" s="516">
        <v>0</v>
      </c>
    </row>
    <row r="108" spans="1:17" ht="16.5">
      <c r="A108" s="9">
        <v>2022</v>
      </c>
      <c r="B108" s="10" t="s">
        <v>748</v>
      </c>
      <c r="C108" s="511" t="s">
        <v>749</v>
      </c>
      <c r="D108" s="512">
        <v>218000</v>
      </c>
      <c r="E108" s="512">
        <v>0</v>
      </c>
      <c r="F108" s="512"/>
      <c r="G108" s="512">
        <v>10000</v>
      </c>
      <c r="H108" s="512">
        <v>1</v>
      </c>
      <c r="I108" s="512" t="s">
        <v>752</v>
      </c>
      <c r="J108" s="512" t="s">
        <v>23</v>
      </c>
      <c r="K108" s="512" t="b">
        <v>1</v>
      </c>
      <c r="L108" s="512">
        <v>5</v>
      </c>
      <c r="M108" s="513">
        <v>2027</v>
      </c>
      <c r="N108" s="514">
        <v>59435260</v>
      </c>
      <c r="O108" s="515">
        <v>44620</v>
      </c>
      <c r="P108" s="515">
        <v>44620</v>
      </c>
      <c r="Q108" s="516">
        <v>0</v>
      </c>
    </row>
    <row r="109" spans="1:17" ht="16.5">
      <c r="A109" s="9">
        <v>2022</v>
      </c>
      <c r="B109" s="10" t="s">
        <v>748</v>
      </c>
      <c r="C109" s="511" t="s">
        <v>749</v>
      </c>
      <c r="D109" s="512">
        <v>218000</v>
      </c>
      <c r="E109" s="512">
        <v>0</v>
      </c>
      <c r="F109" s="512"/>
      <c r="G109" s="512">
        <v>10000</v>
      </c>
      <c r="H109" s="512">
        <v>1</v>
      </c>
      <c r="I109" s="512" t="s">
        <v>752</v>
      </c>
      <c r="J109" s="512" t="s">
        <v>23</v>
      </c>
      <c r="K109" s="512" t="b">
        <v>1</v>
      </c>
      <c r="L109" s="512">
        <v>11</v>
      </c>
      <c r="M109" s="513">
        <v>2033</v>
      </c>
      <c r="N109" s="514">
        <v>69961722</v>
      </c>
      <c r="O109" s="515">
        <v>44620</v>
      </c>
      <c r="P109" s="515">
        <v>44620</v>
      </c>
      <c r="Q109" s="516">
        <v>0</v>
      </c>
    </row>
    <row r="110" spans="1:17" ht="16.5">
      <c r="A110" s="9">
        <v>2022</v>
      </c>
      <c r="B110" s="10" t="s">
        <v>748</v>
      </c>
      <c r="C110" s="511" t="s">
        <v>749</v>
      </c>
      <c r="D110" s="512">
        <v>218000</v>
      </c>
      <c r="E110" s="512">
        <v>0</v>
      </c>
      <c r="F110" s="512"/>
      <c r="G110" s="512">
        <v>10000</v>
      </c>
      <c r="H110" s="512">
        <v>1</v>
      </c>
      <c r="I110" s="512" t="s">
        <v>752</v>
      </c>
      <c r="J110" s="512" t="s">
        <v>23</v>
      </c>
      <c r="K110" s="512" t="b">
        <v>1</v>
      </c>
      <c r="L110" s="512">
        <v>6</v>
      </c>
      <c r="M110" s="513">
        <v>2028</v>
      </c>
      <c r="N110" s="514">
        <v>61380124</v>
      </c>
      <c r="O110" s="515">
        <v>44620</v>
      </c>
      <c r="P110" s="515">
        <v>44620</v>
      </c>
      <c r="Q110" s="516">
        <v>0</v>
      </c>
    </row>
    <row r="111" spans="1:17" ht="16.5">
      <c r="A111" s="9">
        <v>2022</v>
      </c>
      <c r="B111" s="10" t="s">
        <v>748</v>
      </c>
      <c r="C111" s="511" t="s">
        <v>749</v>
      </c>
      <c r="D111" s="512">
        <v>218000</v>
      </c>
      <c r="E111" s="512">
        <v>0</v>
      </c>
      <c r="F111" s="512"/>
      <c r="G111" s="512">
        <v>10000</v>
      </c>
      <c r="H111" s="512">
        <v>1</v>
      </c>
      <c r="I111" s="512" t="s">
        <v>752</v>
      </c>
      <c r="J111" s="512" t="s">
        <v>23</v>
      </c>
      <c r="K111" s="512" t="b">
        <v>1</v>
      </c>
      <c r="L111" s="512">
        <v>3</v>
      </c>
      <c r="M111" s="513">
        <v>2025</v>
      </c>
      <c r="N111" s="514">
        <v>55569905</v>
      </c>
      <c r="O111" s="515">
        <v>44620</v>
      </c>
      <c r="P111" s="515">
        <v>44620</v>
      </c>
      <c r="Q111" s="516">
        <v>0</v>
      </c>
    </row>
    <row r="112" spans="1:17" ht="16.5">
      <c r="A112" s="9">
        <v>2022</v>
      </c>
      <c r="B112" s="10" t="s">
        <v>748</v>
      </c>
      <c r="C112" s="511" t="s">
        <v>749</v>
      </c>
      <c r="D112" s="512">
        <v>218000</v>
      </c>
      <c r="E112" s="512">
        <v>0</v>
      </c>
      <c r="F112" s="512"/>
      <c r="G112" s="512">
        <v>10000</v>
      </c>
      <c r="H112" s="512">
        <v>1</v>
      </c>
      <c r="I112" s="512" t="s">
        <v>752</v>
      </c>
      <c r="J112" s="512" t="s">
        <v>23</v>
      </c>
      <c r="K112" s="512" t="b">
        <v>1</v>
      </c>
      <c r="L112" s="512">
        <v>9</v>
      </c>
      <c r="M112" s="513">
        <v>2031</v>
      </c>
      <c r="N112" s="514">
        <v>66896118</v>
      </c>
      <c r="O112" s="515">
        <v>44620</v>
      </c>
      <c r="P112" s="515">
        <v>44620</v>
      </c>
      <c r="Q112" s="516">
        <v>0</v>
      </c>
    </row>
    <row r="113" spans="1:17" ht="16.5">
      <c r="A113" s="9">
        <v>2022</v>
      </c>
      <c r="B113" s="10" t="s">
        <v>748</v>
      </c>
      <c r="C113" s="511" t="s">
        <v>749</v>
      </c>
      <c r="D113" s="512">
        <v>218000</v>
      </c>
      <c r="E113" s="512">
        <v>0</v>
      </c>
      <c r="F113" s="512"/>
      <c r="G113" s="512">
        <v>10000</v>
      </c>
      <c r="H113" s="512">
        <v>1</v>
      </c>
      <c r="I113" s="512" t="s">
        <v>752</v>
      </c>
      <c r="J113" s="512" t="s">
        <v>23</v>
      </c>
      <c r="K113" s="512" t="b">
        <v>1</v>
      </c>
      <c r="L113" s="512">
        <v>1</v>
      </c>
      <c r="M113" s="513">
        <v>2023</v>
      </c>
      <c r="N113" s="514">
        <v>73658346</v>
      </c>
      <c r="O113" s="515">
        <v>44620</v>
      </c>
      <c r="P113" s="515">
        <v>44620</v>
      </c>
      <c r="Q113" s="516">
        <v>0</v>
      </c>
    </row>
    <row r="114" spans="1:17" ht="16.5">
      <c r="A114" s="9">
        <v>2022</v>
      </c>
      <c r="B114" s="10" t="s">
        <v>748</v>
      </c>
      <c r="C114" s="511" t="s">
        <v>749</v>
      </c>
      <c r="D114" s="512">
        <v>218000</v>
      </c>
      <c r="E114" s="512">
        <v>0</v>
      </c>
      <c r="F114" s="512"/>
      <c r="G114" s="512">
        <v>10000</v>
      </c>
      <c r="H114" s="512">
        <v>1</v>
      </c>
      <c r="I114" s="512" t="s">
        <v>752</v>
      </c>
      <c r="J114" s="512" t="s">
        <v>23</v>
      </c>
      <c r="K114" s="512" t="b">
        <v>1</v>
      </c>
      <c r="L114" s="512">
        <v>2</v>
      </c>
      <c r="M114" s="513">
        <v>2024</v>
      </c>
      <c r="N114" s="514">
        <v>53707637</v>
      </c>
      <c r="O114" s="515">
        <v>44620</v>
      </c>
      <c r="P114" s="515">
        <v>44620</v>
      </c>
      <c r="Q114" s="516">
        <v>0</v>
      </c>
    </row>
    <row r="115" spans="1:17" ht="16.5">
      <c r="A115" s="9">
        <v>2022</v>
      </c>
      <c r="B115" s="10" t="s">
        <v>748</v>
      </c>
      <c r="C115" s="511" t="s">
        <v>749</v>
      </c>
      <c r="D115" s="512">
        <v>218000</v>
      </c>
      <c r="E115" s="512">
        <v>0</v>
      </c>
      <c r="F115" s="512"/>
      <c r="G115" s="512">
        <v>91000</v>
      </c>
      <c r="H115" s="512">
        <v>9.1</v>
      </c>
      <c r="I115" s="512"/>
      <c r="J115" s="512" t="s">
        <v>234</v>
      </c>
      <c r="K115" s="512" t="b">
        <v>1</v>
      </c>
      <c r="L115" s="512">
        <v>11</v>
      </c>
      <c r="M115" s="513">
        <v>2033</v>
      </c>
      <c r="N115" s="514">
        <v>0</v>
      </c>
      <c r="O115" s="515">
        <v>44620</v>
      </c>
      <c r="P115" s="515">
        <v>44620</v>
      </c>
      <c r="Q115" s="516">
        <v>0</v>
      </c>
    </row>
    <row r="116" spans="1:17" ht="16.5">
      <c r="A116" s="9">
        <v>2022</v>
      </c>
      <c r="B116" s="10" t="s">
        <v>748</v>
      </c>
      <c r="C116" s="511" t="s">
        <v>749</v>
      </c>
      <c r="D116" s="512">
        <v>218000</v>
      </c>
      <c r="E116" s="512">
        <v>0</v>
      </c>
      <c r="F116" s="512"/>
      <c r="G116" s="512">
        <v>91000</v>
      </c>
      <c r="H116" s="512">
        <v>9.1</v>
      </c>
      <c r="I116" s="512"/>
      <c r="J116" s="512" t="s">
        <v>234</v>
      </c>
      <c r="K116" s="512" t="b">
        <v>1</v>
      </c>
      <c r="L116" s="512">
        <v>2</v>
      </c>
      <c r="M116" s="513">
        <v>2024</v>
      </c>
      <c r="N116" s="514">
        <v>0</v>
      </c>
      <c r="O116" s="515">
        <v>44620</v>
      </c>
      <c r="P116" s="515">
        <v>44620</v>
      </c>
      <c r="Q116" s="516">
        <v>0</v>
      </c>
    </row>
    <row r="117" spans="1:17" ht="16.5">
      <c r="A117" s="9">
        <v>2022</v>
      </c>
      <c r="B117" s="10" t="s">
        <v>748</v>
      </c>
      <c r="C117" s="511" t="s">
        <v>749</v>
      </c>
      <c r="D117" s="512">
        <v>218000</v>
      </c>
      <c r="E117" s="512">
        <v>0</v>
      </c>
      <c r="F117" s="512"/>
      <c r="G117" s="512">
        <v>91000</v>
      </c>
      <c r="H117" s="512">
        <v>9.1</v>
      </c>
      <c r="I117" s="512"/>
      <c r="J117" s="512" t="s">
        <v>234</v>
      </c>
      <c r="K117" s="512" t="b">
        <v>1</v>
      </c>
      <c r="L117" s="512">
        <v>8</v>
      </c>
      <c r="M117" s="513">
        <v>2030</v>
      </c>
      <c r="N117" s="514">
        <v>0</v>
      </c>
      <c r="O117" s="515">
        <v>44620</v>
      </c>
      <c r="P117" s="515">
        <v>44620</v>
      </c>
      <c r="Q117" s="516">
        <v>0</v>
      </c>
    </row>
    <row r="118" spans="1:17" ht="16.5">
      <c r="A118" s="9">
        <v>2022</v>
      </c>
      <c r="B118" s="10" t="s">
        <v>748</v>
      </c>
      <c r="C118" s="511" t="s">
        <v>749</v>
      </c>
      <c r="D118" s="512">
        <v>218000</v>
      </c>
      <c r="E118" s="512">
        <v>0</v>
      </c>
      <c r="F118" s="512"/>
      <c r="G118" s="512">
        <v>91000</v>
      </c>
      <c r="H118" s="512">
        <v>9.1</v>
      </c>
      <c r="I118" s="512"/>
      <c r="J118" s="512" t="s">
        <v>234</v>
      </c>
      <c r="K118" s="512" t="b">
        <v>1</v>
      </c>
      <c r="L118" s="512">
        <v>6</v>
      </c>
      <c r="M118" s="513">
        <v>2028</v>
      </c>
      <c r="N118" s="514">
        <v>0</v>
      </c>
      <c r="O118" s="515">
        <v>44620</v>
      </c>
      <c r="P118" s="515">
        <v>44620</v>
      </c>
      <c r="Q118" s="516">
        <v>0</v>
      </c>
    </row>
    <row r="119" spans="1:17" ht="16.5">
      <c r="A119" s="9">
        <v>2022</v>
      </c>
      <c r="B119" s="10" t="s">
        <v>748</v>
      </c>
      <c r="C119" s="511" t="s">
        <v>749</v>
      </c>
      <c r="D119" s="512">
        <v>218000</v>
      </c>
      <c r="E119" s="512">
        <v>0</v>
      </c>
      <c r="F119" s="512"/>
      <c r="G119" s="512">
        <v>91000</v>
      </c>
      <c r="H119" s="512">
        <v>9.1</v>
      </c>
      <c r="I119" s="512"/>
      <c r="J119" s="512" t="s">
        <v>234</v>
      </c>
      <c r="K119" s="512" t="b">
        <v>1</v>
      </c>
      <c r="L119" s="512">
        <v>5</v>
      </c>
      <c r="M119" s="513">
        <v>2027</v>
      </c>
      <c r="N119" s="514">
        <v>0</v>
      </c>
      <c r="O119" s="515">
        <v>44620</v>
      </c>
      <c r="P119" s="515">
        <v>44620</v>
      </c>
      <c r="Q119" s="516">
        <v>0</v>
      </c>
    </row>
    <row r="120" spans="1:17" ht="16.5">
      <c r="A120" s="9">
        <v>2022</v>
      </c>
      <c r="B120" s="10" t="s">
        <v>748</v>
      </c>
      <c r="C120" s="511" t="s">
        <v>749</v>
      </c>
      <c r="D120" s="512">
        <v>218000</v>
      </c>
      <c r="E120" s="512">
        <v>0</v>
      </c>
      <c r="F120" s="512"/>
      <c r="G120" s="512">
        <v>91000</v>
      </c>
      <c r="H120" s="512">
        <v>9.1</v>
      </c>
      <c r="I120" s="512"/>
      <c r="J120" s="512" t="s">
        <v>234</v>
      </c>
      <c r="K120" s="512" t="b">
        <v>1</v>
      </c>
      <c r="L120" s="512">
        <v>4</v>
      </c>
      <c r="M120" s="513">
        <v>2026</v>
      </c>
      <c r="N120" s="514">
        <v>0</v>
      </c>
      <c r="O120" s="515">
        <v>44620</v>
      </c>
      <c r="P120" s="515">
        <v>44620</v>
      </c>
      <c r="Q120" s="516">
        <v>0</v>
      </c>
    </row>
    <row r="121" spans="1:17" ht="16.5">
      <c r="A121" s="9">
        <v>2022</v>
      </c>
      <c r="B121" s="10" t="s">
        <v>748</v>
      </c>
      <c r="C121" s="511" t="s">
        <v>749</v>
      </c>
      <c r="D121" s="512">
        <v>218000</v>
      </c>
      <c r="E121" s="512">
        <v>0</v>
      </c>
      <c r="F121" s="512"/>
      <c r="G121" s="512">
        <v>91000</v>
      </c>
      <c r="H121" s="512">
        <v>9.1</v>
      </c>
      <c r="I121" s="512"/>
      <c r="J121" s="512" t="s">
        <v>234</v>
      </c>
      <c r="K121" s="512" t="b">
        <v>1</v>
      </c>
      <c r="L121" s="512">
        <v>0</v>
      </c>
      <c r="M121" s="513">
        <v>2022</v>
      </c>
      <c r="N121" s="514">
        <v>1933369</v>
      </c>
      <c r="O121" s="515">
        <v>44620</v>
      </c>
      <c r="P121" s="515">
        <v>44620</v>
      </c>
      <c r="Q121" s="516">
        <v>0</v>
      </c>
    </row>
    <row r="122" spans="1:17" ht="16.5">
      <c r="A122" s="9">
        <v>2022</v>
      </c>
      <c r="B122" s="10" t="s">
        <v>748</v>
      </c>
      <c r="C122" s="511" t="s">
        <v>749</v>
      </c>
      <c r="D122" s="512">
        <v>218000</v>
      </c>
      <c r="E122" s="512">
        <v>0</v>
      </c>
      <c r="F122" s="512"/>
      <c r="G122" s="512">
        <v>91000</v>
      </c>
      <c r="H122" s="512">
        <v>9.1</v>
      </c>
      <c r="I122" s="512"/>
      <c r="J122" s="512" t="s">
        <v>234</v>
      </c>
      <c r="K122" s="512" t="b">
        <v>1</v>
      </c>
      <c r="L122" s="512">
        <v>1</v>
      </c>
      <c r="M122" s="513">
        <v>2023</v>
      </c>
      <c r="N122" s="514">
        <v>0</v>
      </c>
      <c r="O122" s="515">
        <v>44620</v>
      </c>
      <c r="P122" s="515">
        <v>44620</v>
      </c>
      <c r="Q122" s="516">
        <v>0</v>
      </c>
    </row>
    <row r="123" spans="1:17" ht="16.5">
      <c r="A123" s="9">
        <v>2022</v>
      </c>
      <c r="B123" s="10" t="s">
        <v>748</v>
      </c>
      <c r="C123" s="511" t="s">
        <v>749</v>
      </c>
      <c r="D123" s="512">
        <v>218000</v>
      </c>
      <c r="E123" s="512">
        <v>0</v>
      </c>
      <c r="F123" s="512"/>
      <c r="G123" s="512">
        <v>91000</v>
      </c>
      <c r="H123" s="512">
        <v>9.1</v>
      </c>
      <c r="I123" s="512"/>
      <c r="J123" s="512" t="s">
        <v>234</v>
      </c>
      <c r="K123" s="512" t="b">
        <v>1</v>
      </c>
      <c r="L123" s="512">
        <v>7</v>
      </c>
      <c r="M123" s="513">
        <v>2029</v>
      </c>
      <c r="N123" s="514">
        <v>0</v>
      </c>
      <c r="O123" s="515">
        <v>44620</v>
      </c>
      <c r="P123" s="515">
        <v>44620</v>
      </c>
      <c r="Q123" s="516">
        <v>0</v>
      </c>
    </row>
    <row r="124" spans="1:17" ht="16.5">
      <c r="A124" s="9">
        <v>2022</v>
      </c>
      <c r="B124" s="10" t="s">
        <v>748</v>
      </c>
      <c r="C124" s="511" t="s">
        <v>749</v>
      </c>
      <c r="D124" s="512">
        <v>218000</v>
      </c>
      <c r="E124" s="512">
        <v>0</v>
      </c>
      <c r="F124" s="512"/>
      <c r="G124" s="512">
        <v>91000</v>
      </c>
      <c r="H124" s="512">
        <v>9.1</v>
      </c>
      <c r="I124" s="512"/>
      <c r="J124" s="512" t="s">
        <v>234</v>
      </c>
      <c r="K124" s="512" t="b">
        <v>1</v>
      </c>
      <c r="L124" s="512">
        <v>3</v>
      </c>
      <c r="M124" s="513">
        <v>2025</v>
      </c>
      <c r="N124" s="514">
        <v>0</v>
      </c>
      <c r="O124" s="515">
        <v>44620</v>
      </c>
      <c r="P124" s="515">
        <v>44620</v>
      </c>
      <c r="Q124" s="516">
        <v>0</v>
      </c>
    </row>
    <row r="125" spans="1:17" ht="16.5">
      <c r="A125" s="9">
        <v>2022</v>
      </c>
      <c r="B125" s="10" t="s">
        <v>748</v>
      </c>
      <c r="C125" s="511" t="s">
        <v>749</v>
      </c>
      <c r="D125" s="512">
        <v>218000</v>
      </c>
      <c r="E125" s="512">
        <v>0</v>
      </c>
      <c r="F125" s="512"/>
      <c r="G125" s="512">
        <v>91000</v>
      </c>
      <c r="H125" s="512">
        <v>9.1</v>
      </c>
      <c r="I125" s="512"/>
      <c r="J125" s="512" t="s">
        <v>234</v>
      </c>
      <c r="K125" s="512" t="b">
        <v>1</v>
      </c>
      <c r="L125" s="512">
        <v>10</v>
      </c>
      <c r="M125" s="513">
        <v>2032</v>
      </c>
      <c r="N125" s="514">
        <v>0</v>
      </c>
      <c r="O125" s="515">
        <v>44620</v>
      </c>
      <c r="P125" s="515">
        <v>44620</v>
      </c>
      <c r="Q125" s="516">
        <v>0</v>
      </c>
    </row>
    <row r="126" spans="1:17" ht="16.5">
      <c r="A126" s="9">
        <v>2022</v>
      </c>
      <c r="B126" s="10" t="s">
        <v>748</v>
      </c>
      <c r="C126" s="511" t="s">
        <v>749</v>
      </c>
      <c r="D126" s="512">
        <v>218000</v>
      </c>
      <c r="E126" s="512">
        <v>0</v>
      </c>
      <c r="F126" s="512"/>
      <c r="G126" s="512">
        <v>91000</v>
      </c>
      <c r="H126" s="512">
        <v>9.1</v>
      </c>
      <c r="I126" s="512"/>
      <c r="J126" s="512" t="s">
        <v>234</v>
      </c>
      <c r="K126" s="512" t="b">
        <v>1</v>
      </c>
      <c r="L126" s="512">
        <v>9</v>
      </c>
      <c r="M126" s="513">
        <v>2031</v>
      </c>
      <c r="N126" s="514">
        <v>0</v>
      </c>
      <c r="O126" s="515">
        <v>44620</v>
      </c>
      <c r="P126" s="515">
        <v>44620</v>
      </c>
      <c r="Q126" s="516">
        <v>0</v>
      </c>
    </row>
    <row r="127" spans="1:17" ht="16.5">
      <c r="A127" s="9">
        <v>2022</v>
      </c>
      <c r="B127" s="10" t="s">
        <v>748</v>
      </c>
      <c r="C127" s="511" t="s">
        <v>749</v>
      </c>
      <c r="D127" s="512">
        <v>218000</v>
      </c>
      <c r="E127" s="512">
        <v>0</v>
      </c>
      <c r="F127" s="512"/>
      <c r="G127" s="512">
        <v>101000</v>
      </c>
      <c r="H127" s="512">
        <v>10.1</v>
      </c>
      <c r="I127" s="512" t="s">
        <v>753</v>
      </c>
      <c r="J127" s="512" t="s">
        <v>245</v>
      </c>
      <c r="K127" s="512" t="b">
        <v>0</v>
      </c>
      <c r="L127" s="512">
        <v>10</v>
      </c>
      <c r="M127" s="513">
        <v>2032</v>
      </c>
      <c r="N127" s="514">
        <v>0</v>
      </c>
      <c r="O127" s="515">
        <v>44620</v>
      </c>
      <c r="P127" s="515">
        <v>44620</v>
      </c>
      <c r="Q127" s="516">
        <v>0</v>
      </c>
    </row>
    <row r="128" spans="1:17" ht="16.5">
      <c r="A128" s="9">
        <v>2022</v>
      </c>
      <c r="B128" s="10" t="s">
        <v>748</v>
      </c>
      <c r="C128" s="511" t="s">
        <v>749</v>
      </c>
      <c r="D128" s="512">
        <v>218000</v>
      </c>
      <c r="E128" s="512">
        <v>0</v>
      </c>
      <c r="F128" s="512"/>
      <c r="G128" s="512">
        <v>101000</v>
      </c>
      <c r="H128" s="512">
        <v>10.1</v>
      </c>
      <c r="I128" s="512" t="s">
        <v>753</v>
      </c>
      <c r="J128" s="512" t="s">
        <v>245</v>
      </c>
      <c r="K128" s="512" t="b">
        <v>0</v>
      </c>
      <c r="L128" s="512">
        <v>0</v>
      </c>
      <c r="M128" s="513">
        <v>2022</v>
      </c>
      <c r="N128" s="514">
        <v>9533117</v>
      </c>
      <c r="O128" s="515">
        <v>44620</v>
      </c>
      <c r="P128" s="515">
        <v>44620</v>
      </c>
      <c r="Q128" s="516">
        <v>0</v>
      </c>
    </row>
    <row r="129" spans="1:17" ht="16.5">
      <c r="A129" s="9">
        <v>2022</v>
      </c>
      <c r="B129" s="10" t="s">
        <v>748</v>
      </c>
      <c r="C129" s="511" t="s">
        <v>749</v>
      </c>
      <c r="D129" s="512">
        <v>218000</v>
      </c>
      <c r="E129" s="512">
        <v>0</v>
      </c>
      <c r="F129" s="512"/>
      <c r="G129" s="512">
        <v>101000</v>
      </c>
      <c r="H129" s="512">
        <v>10.1</v>
      </c>
      <c r="I129" s="512" t="s">
        <v>753</v>
      </c>
      <c r="J129" s="512" t="s">
        <v>245</v>
      </c>
      <c r="K129" s="512" t="b">
        <v>0</v>
      </c>
      <c r="L129" s="512">
        <v>9</v>
      </c>
      <c r="M129" s="513">
        <v>2031</v>
      </c>
      <c r="N129" s="514">
        <v>0</v>
      </c>
      <c r="O129" s="515">
        <v>44620</v>
      </c>
      <c r="P129" s="515">
        <v>44620</v>
      </c>
      <c r="Q129" s="516">
        <v>0</v>
      </c>
    </row>
    <row r="130" spans="1:17" ht="16.5">
      <c r="A130" s="9">
        <v>2022</v>
      </c>
      <c r="B130" s="10" t="s">
        <v>748</v>
      </c>
      <c r="C130" s="511" t="s">
        <v>749</v>
      </c>
      <c r="D130" s="512">
        <v>218000</v>
      </c>
      <c r="E130" s="512">
        <v>0</v>
      </c>
      <c r="F130" s="512"/>
      <c r="G130" s="512">
        <v>101000</v>
      </c>
      <c r="H130" s="512">
        <v>10.1</v>
      </c>
      <c r="I130" s="512" t="s">
        <v>753</v>
      </c>
      <c r="J130" s="512" t="s">
        <v>245</v>
      </c>
      <c r="K130" s="512" t="b">
        <v>0</v>
      </c>
      <c r="L130" s="512">
        <v>2</v>
      </c>
      <c r="M130" s="513">
        <v>2024</v>
      </c>
      <c r="N130" s="514">
        <v>1000000</v>
      </c>
      <c r="O130" s="515">
        <v>44620</v>
      </c>
      <c r="P130" s="515">
        <v>44620</v>
      </c>
      <c r="Q130" s="516">
        <v>0</v>
      </c>
    </row>
    <row r="131" spans="1:17" ht="16.5">
      <c r="A131" s="9">
        <v>2022</v>
      </c>
      <c r="B131" s="10" t="s">
        <v>748</v>
      </c>
      <c r="C131" s="511" t="s">
        <v>749</v>
      </c>
      <c r="D131" s="512">
        <v>218000</v>
      </c>
      <c r="E131" s="512">
        <v>0</v>
      </c>
      <c r="F131" s="512"/>
      <c r="G131" s="512">
        <v>101000</v>
      </c>
      <c r="H131" s="512">
        <v>10.1</v>
      </c>
      <c r="I131" s="512" t="s">
        <v>753</v>
      </c>
      <c r="J131" s="512" t="s">
        <v>245</v>
      </c>
      <c r="K131" s="512" t="b">
        <v>0</v>
      </c>
      <c r="L131" s="512">
        <v>3</v>
      </c>
      <c r="M131" s="513">
        <v>2025</v>
      </c>
      <c r="N131" s="514">
        <v>1000000</v>
      </c>
      <c r="O131" s="515">
        <v>44620</v>
      </c>
      <c r="P131" s="515">
        <v>44620</v>
      </c>
      <c r="Q131" s="516">
        <v>0</v>
      </c>
    </row>
    <row r="132" spans="1:17" ht="16.5">
      <c r="A132" s="9">
        <v>2022</v>
      </c>
      <c r="B132" s="10" t="s">
        <v>748</v>
      </c>
      <c r="C132" s="511" t="s">
        <v>749</v>
      </c>
      <c r="D132" s="512">
        <v>218000</v>
      </c>
      <c r="E132" s="512">
        <v>0</v>
      </c>
      <c r="F132" s="512"/>
      <c r="G132" s="512">
        <v>101000</v>
      </c>
      <c r="H132" s="512">
        <v>10.1</v>
      </c>
      <c r="I132" s="512" t="s">
        <v>753</v>
      </c>
      <c r="J132" s="512" t="s">
        <v>245</v>
      </c>
      <c r="K132" s="512" t="b">
        <v>0</v>
      </c>
      <c r="L132" s="512">
        <v>7</v>
      </c>
      <c r="M132" s="513">
        <v>2029</v>
      </c>
      <c r="N132" s="514">
        <v>0</v>
      </c>
      <c r="O132" s="515">
        <v>44620</v>
      </c>
      <c r="P132" s="515">
        <v>44620</v>
      </c>
      <c r="Q132" s="516">
        <v>0</v>
      </c>
    </row>
    <row r="133" spans="1:17" ht="16.5">
      <c r="A133" s="9">
        <v>2022</v>
      </c>
      <c r="B133" s="10" t="s">
        <v>748</v>
      </c>
      <c r="C133" s="511" t="s">
        <v>749</v>
      </c>
      <c r="D133" s="512">
        <v>218000</v>
      </c>
      <c r="E133" s="512">
        <v>0</v>
      </c>
      <c r="F133" s="512"/>
      <c r="G133" s="512">
        <v>101000</v>
      </c>
      <c r="H133" s="512">
        <v>10.1</v>
      </c>
      <c r="I133" s="512" t="s">
        <v>753</v>
      </c>
      <c r="J133" s="512" t="s">
        <v>245</v>
      </c>
      <c r="K133" s="512" t="b">
        <v>0</v>
      </c>
      <c r="L133" s="512">
        <v>11</v>
      </c>
      <c r="M133" s="513">
        <v>2033</v>
      </c>
      <c r="N133" s="514">
        <v>0</v>
      </c>
      <c r="O133" s="515">
        <v>44620</v>
      </c>
      <c r="P133" s="515">
        <v>44620</v>
      </c>
      <c r="Q133" s="516">
        <v>0</v>
      </c>
    </row>
    <row r="134" spans="1:17" ht="16.5">
      <c r="A134" s="9">
        <v>2022</v>
      </c>
      <c r="B134" s="10" t="s">
        <v>748</v>
      </c>
      <c r="C134" s="511" t="s">
        <v>749</v>
      </c>
      <c r="D134" s="512">
        <v>218000</v>
      </c>
      <c r="E134" s="512">
        <v>0</v>
      </c>
      <c r="F134" s="512"/>
      <c r="G134" s="512">
        <v>101000</v>
      </c>
      <c r="H134" s="512">
        <v>10.1</v>
      </c>
      <c r="I134" s="512" t="s">
        <v>753</v>
      </c>
      <c r="J134" s="512" t="s">
        <v>245</v>
      </c>
      <c r="K134" s="512" t="b">
        <v>0</v>
      </c>
      <c r="L134" s="512">
        <v>8</v>
      </c>
      <c r="M134" s="513">
        <v>2030</v>
      </c>
      <c r="N134" s="514">
        <v>0</v>
      </c>
      <c r="O134" s="515">
        <v>44620</v>
      </c>
      <c r="P134" s="515">
        <v>44620</v>
      </c>
      <c r="Q134" s="516">
        <v>0</v>
      </c>
    </row>
    <row r="135" spans="1:17" ht="16.5">
      <c r="A135" s="9">
        <v>2022</v>
      </c>
      <c r="B135" s="10" t="s">
        <v>748</v>
      </c>
      <c r="C135" s="511" t="s">
        <v>749</v>
      </c>
      <c r="D135" s="512">
        <v>218000</v>
      </c>
      <c r="E135" s="512">
        <v>0</v>
      </c>
      <c r="F135" s="512"/>
      <c r="G135" s="512">
        <v>101000</v>
      </c>
      <c r="H135" s="512">
        <v>10.1</v>
      </c>
      <c r="I135" s="512" t="s">
        <v>753</v>
      </c>
      <c r="J135" s="512" t="s">
        <v>245</v>
      </c>
      <c r="K135" s="512" t="b">
        <v>0</v>
      </c>
      <c r="L135" s="512">
        <v>5</v>
      </c>
      <c r="M135" s="513">
        <v>2027</v>
      </c>
      <c r="N135" s="514">
        <v>0</v>
      </c>
      <c r="O135" s="515">
        <v>44620</v>
      </c>
      <c r="P135" s="515">
        <v>44620</v>
      </c>
      <c r="Q135" s="516">
        <v>0</v>
      </c>
    </row>
    <row r="136" spans="1:17" ht="16.5">
      <c r="A136" s="9">
        <v>2022</v>
      </c>
      <c r="B136" s="10" t="s">
        <v>748</v>
      </c>
      <c r="C136" s="511" t="s">
        <v>749</v>
      </c>
      <c r="D136" s="512">
        <v>218000</v>
      </c>
      <c r="E136" s="512">
        <v>0</v>
      </c>
      <c r="F136" s="512"/>
      <c r="G136" s="512">
        <v>101000</v>
      </c>
      <c r="H136" s="512">
        <v>10.1</v>
      </c>
      <c r="I136" s="512" t="s">
        <v>753</v>
      </c>
      <c r="J136" s="512" t="s">
        <v>245</v>
      </c>
      <c r="K136" s="512" t="b">
        <v>0</v>
      </c>
      <c r="L136" s="512">
        <v>4</v>
      </c>
      <c r="M136" s="513">
        <v>2026</v>
      </c>
      <c r="N136" s="514">
        <v>0</v>
      </c>
      <c r="O136" s="515">
        <v>44620</v>
      </c>
      <c r="P136" s="515">
        <v>44620</v>
      </c>
      <c r="Q136" s="516">
        <v>0</v>
      </c>
    </row>
    <row r="137" spans="1:17" ht="16.5">
      <c r="A137" s="9">
        <v>2022</v>
      </c>
      <c r="B137" s="10" t="s">
        <v>748</v>
      </c>
      <c r="C137" s="511" t="s">
        <v>749</v>
      </c>
      <c r="D137" s="512">
        <v>218000</v>
      </c>
      <c r="E137" s="512">
        <v>0</v>
      </c>
      <c r="F137" s="512"/>
      <c r="G137" s="512">
        <v>101000</v>
      </c>
      <c r="H137" s="512">
        <v>10.1</v>
      </c>
      <c r="I137" s="512" t="s">
        <v>753</v>
      </c>
      <c r="J137" s="512" t="s">
        <v>245</v>
      </c>
      <c r="K137" s="512" t="b">
        <v>0</v>
      </c>
      <c r="L137" s="512">
        <v>1</v>
      </c>
      <c r="M137" s="513">
        <v>2023</v>
      </c>
      <c r="N137" s="514">
        <v>23305220</v>
      </c>
      <c r="O137" s="515">
        <v>44620</v>
      </c>
      <c r="P137" s="515">
        <v>44620</v>
      </c>
      <c r="Q137" s="516">
        <v>0</v>
      </c>
    </row>
    <row r="138" spans="1:17" ht="16.5">
      <c r="A138" s="9">
        <v>2022</v>
      </c>
      <c r="B138" s="10" t="s">
        <v>748</v>
      </c>
      <c r="C138" s="511" t="s">
        <v>749</v>
      </c>
      <c r="D138" s="512">
        <v>218000</v>
      </c>
      <c r="E138" s="512">
        <v>0</v>
      </c>
      <c r="F138" s="512"/>
      <c r="G138" s="512">
        <v>101000</v>
      </c>
      <c r="H138" s="512">
        <v>10.1</v>
      </c>
      <c r="I138" s="512" t="s">
        <v>753</v>
      </c>
      <c r="J138" s="512" t="s">
        <v>245</v>
      </c>
      <c r="K138" s="512" t="b">
        <v>0</v>
      </c>
      <c r="L138" s="512">
        <v>6</v>
      </c>
      <c r="M138" s="513">
        <v>2028</v>
      </c>
      <c r="N138" s="514">
        <v>0</v>
      </c>
      <c r="O138" s="515">
        <v>44620</v>
      </c>
      <c r="P138" s="515">
        <v>44620</v>
      </c>
      <c r="Q138" s="516">
        <v>0</v>
      </c>
    </row>
    <row r="139" spans="1:17" ht="16.5">
      <c r="A139" s="9">
        <v>2022</v>
      </c>
      <c r="B139" s="10" t="s">
        <v>748</v>
      </c>
      <c r="C139" s="511" t="s">
        <v>749</v>
      </c>
      <c r="D139" s="512">
        <v>218000</v>
      </c>
      <c r="E139" s="512">
        <v>0</v>
      </c>
      <c r="F139" s="512"/>
      <c r="G139" s="512">
        <v>85100</v>
      </c>
      <c r="H139" s="512" t="s">
        <v>584</v>
      </c>
      <c r="I139" s="512" t="s">
        <v>754</v>
      </c>
      <c r="J139" s="512" t="s">
        <v>584</v>
      </c>
      <c r="K139" s="512" t="b">
        <v>1</v>
      </c>
      <c r="L139" s="512">
        <v>10</v>
      </c>
      <c r="M139" s="513">
        <v>2032</v>
      </c>
      <c r="N139" s="514">
        <v>2.5700000000000001E-2</v>
      </c>
      <c r="O139" s="515">
        <v>44620</v>
      </c>
      <c r="P139" s="515">
        <v>44620</v>
      </c>
      <c r="Q139" s="516">
        <v>0</v>
      </c>
    </row>
    <row r="140" spans="1:17" ht="16.5">
      <c r="A140" s="9">
        <v>2022</v>
      </c>
      <c r="B140" s="10" t="s">
        <v>748</v>
      </c>
      <c r="C140" s="511" t="s">
        <v>749</v>
      </c>
      <c r="D140" s="512">
        <v>218000</v>
      </c>
      <c r="E140" s="512">
        <v>0</v>
      </c>
      <c r="F140" s="512"/>
      <c r="G140" s="512">
        <v>85100</v>
      </c>
      <c r="H140" s="512" t="s">
        <v>584</v>
      </c>
      <c r="I140" s="512" t="s">
        <v>754</v>
      </c>
      <c r="J140" s="512" t="s">
        <v>584</v>
      </c>
      <c r="K140" s="512" t="b">
        <v>1</v>
      </c>
      <c r="L140" s="512">
        <v>4</v>
      </c>
      <c r="M140" s="513">
        <v>2026</v>
      </c>
      <c r="N140" s="514">
        <v>0.2</v>
      </c>
      <c r="O140" s="515">
        <v>44620</v>
      </c>
      <c r="P140" s="515">
        <v>44620</v>
      </c>
      <c r="Q140" s="516">
        <v>0</v>
      </c>
    </row>
    <row r="141" spans="1:17" ht="16.5">
      <c r="A141" s="9">
        <v>2022</v>
      </c>
      <c r="B141" s="10" t="s">
        <v>748</v>
      </c>
      <c r="C141" s="511" t="s">
        <v>749</v>
      </c>
      <c r="D141" s="512">
        <v>218000</v>
      </c>
      <c r="E141" s="512">
        <v>0</v>
      </c>
      <c r="F141" s="512"/>
      <c r="G141" s="512">
        <v>85100</v>
      </c>
      <c r="H141" s="512" t="s">
        <v>584</v>
      </c>
      <c r="I141" s="512" t="s">
        <v>754</v>
      </c>
      <c r="J141" s="512" t="s">
        <v>584</v>
      </c>
      <c r="K141" s="512" t="b">
        <v>1</v>
      </c>
      <c r="L141" s="512">
        <v>8</v>
      </c>
      <c r="M141" s="513">
        <v>2030</v>
      </c>
      <c r="N141" s="514">
        <v>7.6799999999999993E-2</v>
      </c>
      <c r="O141" s="515">
        <v>44620</v>
      </c>
      <c r="P141" s="515">
        <v>44620</v>
      </c>
      <c r="Q141" s="516">
        <v>0</v>
      </c>
    </row>
    <row r="142" spans="1:17" ht="16.5">
      <c r="A142" s="9">
        <v>2022</v>
      </c>
      <c r="B142" s="10" t="s">
        <v>748</v>
      </c>
      <c r="C142" s="511" t="s">
        <v>749</v>
      </c>
      <c r="D142" s="512">
        <v>218000</v>
      </c>
      <c r="E142" s="512">
        <v>0</v>
      </c>
      <c r="F142" s="512"/>
      <c r="G142" s="512">
        <v>85100</v>
      </c>
      <c r="H142" s="512" t="s">
        <v>584</v>
      </c>
      <c r="I142" s="512" t="s">
        <v>754</v>
      </c>
      <c r="J142" s="512" t="s">
        <v>584</v>
      </c>
      <c r="K142" s="512" t="b">
        <v>1</v>
      </c>
      <c r="L142" s="512">
        <v>0</v>
      </c>
      <c r="M142" s="513">
        <v>2022</v>
      </c>
      <c r="N142" s="514">
        <v>0.30320000000000003</v>
      </c>
      <c r="O142" s="515">
        <v>44620</v>
      </c>
      <c r="P142" s="515">
        <v>44620</v>
      </c>
      <c r="Q142" s="516">
        <v>0</v>
      </c>
    </row>
    <row r="143" spans="1:17" ht="16.5">
      <c r="A143" s="9">
        <v>2022</v>
      </c>
      <c r="B143" s="10" t="s">
        <v>748</v>
      </c>
      <c r="C143" s="511" t="s">
        <v>749</v>
      </c>
      <c r="D143" s="512">
        <v>218000</v>
      </c>
      <c r="E143" s="512">
        <v>0</v>
      </c>
      <c r="F143" s="512"/>
      <c r="G143" s="512">
        <v>85100</v>
      </c>
      <c r="H143" s="512" t="s">
        <v>584</v>
      </c>
      <c r="I143" s="512" t="s">
        <v>754</v>
      </c>
      <c r="J143" s="512" t="s">
        <v>584</v>
      </c>
      <c r="K143" s="512" t="b">
        <v>1</v>
      </c>
      <c r="L143" s="512">
        <v>9</v>
      </c>
      <c r="M143" s="513">
        <v>2031</v>
      </c>
      <c r="N143" s="514">
        <v>5.2299999999999999E-2</v>
      </c>
      <c r="O143" s="515">
        <v>44620</v>
      </c>
      <c r="P143" s="515">
        <v>44620</v>
      </c>
      <c r="Q143" s="516">
        <v>0</v>
      </c>
    </row>
    <row r="144" spans="1:17" ht="16.5">
      <c r="A144" s="9">
        <v>2022</v>
      </c>
      <c r="B144" s="10" t="s">
        <v>748</v>
      </c>
      <c r="C144" s="511" t="s">
        <v>749</v>
      </c>
      <c r="D144" s="512">
        <v>218000</v>
      </c>
      <c r="E144" s="512">
        <v>0</v>
      </c>
      <c r="F144" s="512"/>
      <c r="G144" s="512">
        <v>85100</v>
      </c>
      <c r="H144" s="512" t="s">
        <v>584</v>
      </c>
      <c r="I144" s="512" t="s">
        <v>754</v>
      </c>
      <c r="J144" s="512" t="s">
        <v>584</v>
      </c>
      <c r="K144" s="512" t="b">
        <v>1</v>
      </c>
      <c r="L144" s="512">
        <v>6</v>
      </c>
      <c r="M144" s="513">
        <v>2028</v>
      </c>
      <c r="N144" s="514">
        <v>0.1303</v>
      </c>
      <c r="O144" s="515">
        <v>44620</v>
      </c>
      <c r="P144" s="515">
        <v>44620</v>
      </c>
      <c r="Q144" s="516">
        <v>0</v>
      </c>
    </row>
    <row r="145" spans="1:17" ht="16.5">
      <c r="A145" s="9">
        <v>2022</v>
      </c>
      <c r="B145" s="10" t="s">
        <v>748</v>
      </c>
      <c r="C145" s="511" t="s">
        <v>749</v>
      </c>
      <c r="D145" s="512">
        <v>218000</v>
      </c>
      <c r="E145" s="512">
        <v>0</v>
      </c>
      <c r="F145" s="512"/>
      <c r="G145" s="512">
        <v>85100</v>
      </c>
      <c r="H145" s="512" t="s">
        <v>584</v>
      </c>
      <c r="I145" s="512" t="s">
        <v>754</v>
      </c>
      <c r="J145" s="512" t="s">
        <v>584</v>
      </c>
      <c r="K145" s="512" t="b">
        <v>1</v>
      </c>
      <c r="L145" s="512">
        <v>5</v>
      </c>
      <c r="M145" s="513">
        <v>2027</v>
      </c>
      <c r="N145" s="514">
        <v>0.1598</v>
      </c>
      <c r="O145" s="515">
        <v>44620</v>
      </c>
      <c r="P145" s="515">
        <v>44620</v>
      </c>
      <c r="Q145" s="516">
        <v>0</v>
      </c>
    </row>
    <row r="146" spans="1:17" ht="16.5">
      <c r="A146" s="9">
        <v>2022</v>
      </c>
      <c r="B146" s="10" t="s">
        <v>748</v>
      </c>
      <c r="C146" s="511" t="s">
        <v>749</v>
      </c>
      <c r="D146" s="512">
        <v>218000</v>
      </c>
      <c r="E146" s="512">
        <v>0</v>
      </c>
      <c r="F146" s="512"/>
      <c r="G146" s="512">
        <v>85100</v>
      </c>
      <c r="H146" s="512" t="s">
        <v>584</v>
      </c>
      <c r="I146" s="512" t="s">
        <v>754</v>
      </c>
      <c r="J146" s="512" t="s">
        <v>584</v>
      </c>
      <c r="K146" s="512" t="b">
        <v>1</v>
      </c>
      <c r="L146" s="512">
        <v>11</v>
      </c>
      <c r="M146" s="513">
        <v>2033</v>
      </c>
      <c r="N146" s="514">
        <v>0</v>
      </c>
      <c r="O146" s="515">
        <v>44620</v>
      </c>
      <c r="P146" s="515">
        <v>44620</v>
      </c>
      <c r="Q146" s="516">
        <v>0</v>
      </c>
    </row>
    <row r="147" spans="1:17" ht="16.5">
      <c r="A147" s="9">
        <v>2022</v>
      </c>
      <c r="B147" s="10" t="s">
        <v>748</v>
      </c>
      <c r="C147" s="511" t="s">
        <v>749</v>
      </c>
      <c r="D147" s="512">
        <v>218000</v>
      </c>
      <c r="E147" s="512">
        <v>0</v>
      </c>
      <c r="F147" s="512"/>
      <c r="G147" s="512">
        <v>85100</v>
      </c>
      <c r="H147" s="512" t="s">
        <v>584</v>
      </c>
      <c r="I147" s="512" t="s">
        <v>754</v>
      </c>
      <c r="J147" s="512" t="s">
        <v>584</v>
      </c>
      <c r="K147" s="512" t="b">
        <v>1</v>
      </c>
      <c r="L147" s="512">
        <v>7</v>
      </c>
      <c r="M147" s="513">
        <v>2029</v>
      </c>
      <c r="N147" s="514">
        <v>0.1027</v>
      </c>
      <c r="O147" s="515">
        <v>44620</v>
      </c>
      <c r="P147" s="515">
        <v>44620</v>
      </c>
      <c r="Q147" s="516">
        <v>0</v>
      </c>
    </row>
    <row r="148" spans="1:17" ht="16.5">
      <c r="A148" s="9">
        <v>2022</v>
      </c>
      <c r="B148" s="10" t="s">
        <v>748</v>
      </c>
      <c r="C148" s="511" t="s">
        <v>749</v>
      </c>
      <c r="D148" s="512">
        <v>218000</v>
      </c>
      <c r="E148" s="512">
        <v>0</v>
      </c>
      <c r="F148" s="512"/>
      <c r="G148" s="512">
        <v>85100</v>
      </c>
      <c r="H148" s="512" t="s">
        <v>584</v>
      </c>
      <c r="I148" s="512" t="s">
        <v>754</v>
      </c>
      <c r="J148" s="512" t="s">
        <v>584</v>
      </c>
      <c r="K148" s="512" t="b">
        <v>1</v>
      </c>
      <c r="L148" s="512">
        <v>2</v>
      </c>
      <c r="M148" s="513">
        <v>2024</v>
      </c>
      <c r="N148" s="514">
        <v>0.28860000000000002</v>
      </c>
      <c r="O148" s="515">
        <v>44620</v>
      </c>
      <c r="P148" s="515">
        <v>44620</v>
      </c>
      <c r="Q148" s="516">
        <v>0</v>
      </c>
    </row>
    <row r="149" spans="1:17" ht="16.5">
      <c r="A149" s="9">
        <v>2022</v>
      </c>
      <c r="B149" s="10" t="s">
        <v>748</v>
      </c>
      <c r="C149" s="511" t="s">
        <v>749</v>
      </c>
      <c r="D149" s="512">
        <v>218000</v>
      </c>
      <c r="E149" s="512">
        <v>0</v>
      </c>
      <c r="F149" s="512"/>
      <c r="G149" s="512">
        <v>85100</v>
      </c>
      <c r="H149" s="512" t="s">
        <v>584</v>
      </c>
      <c r="I149" s="512" t="s">
        <v>754</v>
      </c>
      <c r="J149" s="512" t="s">
        <v>584</v>
      </c>
      <c r="K149" s="512" t="b">
        <v>1</v>
      </c>
      <c r="L149" s="512">
        <v>1</v>
      </c>
      <c r="M149" s="513">
        <v>2023</v>
      </c>
      <c r="N149" s="514">
        <v>0.2364</v>
      </c>
      <c r="O149" s="515">
        <v>44620</v>
      </c>
      <c r="P149" s="515">
        <v>44620</v>
      </c>
      <c r="Q149" s="516">
        <v>0</v>
      </c>
    </row>
    <row r="150" spans="1:17" ht="16.5">
      <c r="A150" s="9">
        <v>2022</v>
      </c>
      <c r="B150" s="10" t="s">
        <v>748</v>
      </c>
      <c r="C150" s="511" t="s">
        <v>749</v>
      </c>
      <c r="D150" s="512">
        <v>218000</v>
      </c>
      <c r="E150" s="512">
        <v>0</v>
      </c>
      <c r="F150" s="512"/>
      <c r="G150" s="512">
        <v>85100</v>
      </c>
      <c r="H150" s="512" t="s">
        <v>584</v>
      </c>
      <c r="I150" s="512" t="s">
        <v>754</v>
      </c>
      <c r="J150" s="512" t="s">
        <v>584</v>
      </c>
      <c r="K150" s="512" t="b">
        <v>1</v>
      </c>
      <c r="L150" s="512">
        <v>3</v>
      </c>
      <c r="M150" s="513">
        <v>2025</v>
      </c>
      <c r="N150" s="514">
        <v>0.2429</v>
      </c>
      <c r="O150" s="515">
        <v>44620</v>
      </c>
      <c r="P150" s="515">
        <v>44620</v>
      </c>
      <c r="Q150" s="516">
        <v>0</v>
      </c>
    </row>
    <row r="151" spans="1:17" ht="16.5">
      <c r="A151" s="9">
        <v>2022</v>
      </c>
      <c r="B151" s="10" t="s">
        <v>748</v>
      </c>
      <c r="C151" s="511" t="s">
        <v>749</v>
      </c>
      <c r="D151" s="512">
        <v>218000</v>
      </c>
      <c r="E151" s="512">
        <v>0</v>
      </c>
      <c r="F151" s="512"/>
      <c r="G151" s="512">
        <v>81226</v>
      </c>
      <c r="H151" s="512" t="s">
        <v>278</v>
      </c>
      <c r="I151" s="512" t="s">
        <v>755</v>
      </c>
      <c r="J151" s="512" t="s">
        <v>225</v>
      </c>
      <c r="K151" s="512" t="b">
        <v>1</v>
      </c>
      <c r="L151" s="512">
        <v>5</v>
      </c>
      <c r="M151" s="513">
        <v>2027</v>
      </c>
      <c r="N151" s="514">
        <v>5.3699999999999998E-2</v>
      </c>
      <c r="O151" s="515">
        <v>44620</v>
      </c>
      <c r="P151" s="515">
        <v>44620</v>
      </c>
      <c r="Q151" s="516">
        <v>0</v>
      </c>
    </row>
    <row r="152" spans="1:17" ht="16.5">
      <c r="A152" s="9">
        <v>2022</v>
      </c>
      <c r="B152" s="10" t="s">
        <v>748</v>
      </c>
      <c r="C152" s="511" t="s">
        <v>749</v>
      </c>
      <c r="D152" s="512">
        <v>218000</v>
      </c>
      <c r="E152" s="512">
        <v>0</v>
      </c>
      <c r="F152" s="512"/>
      <c r="G152" s="512">
        <v>81226</v>
      </c>
      <c r="H152" s="512" t="s">
        <v>278</v>
      </c>
      <c r="I152" s="512" t="s">
        <v>755</v>
      </c>
      <c r="J152" s="512" t="s">
        <v>225</v>
      </c>
      <c r="K152" s="512" t="b">
        <v>1</v>
      </c>
      <c r="L152" s="512">
        <v>11</v>
      </c>
      <c r="M152" s="513">
        <v>2033</v>
      </c>
      <c r="N152" s="514">
        <v>3.4799999999999998E-2</v>
      </c>
      <c r="O152" s="515">
        <v>44620</v>
      </c>
      <c r="P152" s="515">
        <v>44620</v>
      </c>
      <c r="Q152" s="516">
        <v>0</v>
      </c>
    </row>
    <row r="153" spans="1:17" ht="16.5">
      <c r="A153" s="9">
        <v>2022</v>
      </c>
      <c r="B153" s="10" t="s">
        <v>748</v>
      </c>
      <c r="C153" s="511" t="s">
        <v>749</v>
      </c>
      <c r="D153" s="512">
        <v>218000</v>
      </c>
      <c r="E153" s="512">
        <v>0</v>
      </c>
      <c r="F153" s="512"/>
      <c r="G153" s="512">
        <v>81226</v>
      </c>
      <c r="H153" s="512" t="s">
        <v>278</v>
      </c>
      <c r="I153" s="512" t="s">
        <v>755</v>
      </c>
      <c r="J153" s="512" t="s">
        <v>225</v>
      </c>
      <c r="K153" s="512" t="b">
        <v>1</v>
      </c>
      <c r="L153" s="512">
        <v>0</v>
      </c>
      <c r="M153" s="513">
        <v>2022</v>
      </c>
      <c r="N153" s="514">
        <v>9.7999999999999997E-3</v>
      </c>
      <c r="O153" s="515">
        <v>44620</v>
      </c>
      <c r="P153" s="515">
        <v>44620</v>
      </c>
      <c r="Q153" s="516">
        <v>0</v>
      </c>
    </row>
    <row r="154" spans="1:17" ht="16.5">
      <c r="A154" s="9">
        <v>2022</v>
      </c>
      <c r="B154" s="10" t="s">
        <v>748</v>
      </c>
      <c r="C154" s="511" t="s">
        <v>749</v>
      </c>
      <c r="D154" s="512">
        <v>218000</v>
      </c>
      <c r="E154" s="512">
        <v>0</v>
      </c>
      <c r="F154" s="512"/>
      <c r="G154" s="512">
        <v>81226</v>
      </c>
      <c r="H154" s="512" t="s">
        <v>278</v>
      </c>
      <c r="I154" s="512" t="s">
        <v>755</v>
      </c>
      <c r="J154" s="512" t="s">
        <v>225</v>
      </c>
      <c r="K154" s="512" t="b">
        <v>1</v>
      </c>
      <c r="L154" s="512">
        <v>4</v>
      </c>
      <c r="M154" s="513">
        <v>2026</v>
      </c>
      <c r="N154" s="514">
        <v>5.7099999999999998E-2</v>
      </c>
      <c r="O154" s="515">
        <v>44620</v>
      </c>
      <c r="P154" s="515">
        <v>44620</v>
      </c>
      <c r="Q154" s="516">
        <v>0</v>
      </c>
    </row>
    <row r="155" spans="1:17" ht="16.5">
      <c r="A155" s="9">
        <v>2022</v>
      </c>
      <c r="B155" s="10" t="s">
        <v>748</v>
      </c>
      <c r="C155" s="511" t="s">
        <v>749</v>
      </c>
      <c r="D155" s="512">
        <v>218000</v>
      </c>
      <c r="E155" s="512">
        <v>0</v>
      </c>
      <c r="F155" s="512"/>
      <c r="G155" s="512">
        <v>81226</v>
      </c>
      <c r="H155" s="512" t="s">
        <v>278</v>
      </c>
      <c r="I155" s="512" t="s">
        <v>755</v>
      </c>
      <c r="J155" s="512" t="s">
        <v>225</v>
      </c>
      <c r="K155" s="512" t="b">
        <v>1</v>
      </c>
      <c r="L155" s="512">
        <v>8</v>
      </c>
      <c r="M155" s="513">
        <v>2030</v>
      </c>
      <c r="N155" s="514">
        <v>3.5499999999999997E-2</v>
      </c>
      <c r="O155" s="515">
        <v>44620</v>
      </c>
      <c r="P155" s="515">
        <v>44620</v>
      </c>
      <c r="Q155" s="516">
        <v>0</v>
      </c>
    </row>
    <row r="156" spans="1:17" ht="16.5">
      <c r="A156" s="9">
        <v>2022</v>
      </c>
      <c r="B156" s="10" t="s">
        <v>748</v>
      </c>
      <c r="C156" s="511" t="s">
        <v>749</v>
      </c>
      <c r="D156" s="512">
        <v>218000</v>
      </c>
      <c r="E156" s="512">
        <v>0</v>
      </c>
      <c r="F156" s="512"/>
      <c r="G156" s="512">
        <v>81226</v>
      </c>
      <c r="H156" s="512" t="s">
        <v>278</v>
      </c>
      <c r="I156" s="512" t="s">
        <v>755</v>
      </c>
      <c r="J156" s="512" t="s">
        <v>225</v>
      </c>
      <c r="K156" s="512" t="b">
        <v>1</v>
      </c>
      <c r="L156" s="512">
        <v>6</v>
      </c>
      <c r="M156" s="513">
        <v>2028</v>
      </c>
      <c r="N156" s="514">
        <v>3.95E-2</v>
      </c>
      <c r="O156" s="515">
        <v>44620</v>
      </c>
      <c r="P156" s="515">
        <v>44620</v>
      </c>
      <c r="Q156" s="516">
        <v>0</v>
      </c>
    </row>
    <row r="157" spans="1:17" ht="16.5">
      <c r="A157" s="9">
        <v>2022</v>
      </c>
      <c r="B157" s="10" t="s">
        <v>748</v>
      </c>
      <c r="C157" s="511" t="s">
        <v>749</v>
      </c>
      <c r="D157" s="512">
        <v>218000</v>
      </c>
      <c r="E157" s="512">
        <v>0</v>
      </c>
      <c r="F157" s="512"/>
      <c r="G157" s="512">
        <v>81226</v>
      </c>
      <c r="H157" s="512" t="s">
        <v>278</v>
      </c>
      <c r="I157" s="512" t="s">
        <v>755</v>
      </c>
      <c r="J157" s="512" t="s">
        <v>225</v>
      </c>
      <c r="K157" s="512" t="b">
        <v>1</v>
      </c>
      <c r="L157" s="512">
        <v>3</v>
      </c>
      <c r="M157" s="513">
        <v>2025</v>
      </c>
      <c r="N157" s="514">
        <v>6.0699999999999997E-2</v>
      </c>
      <c r="O157" s="515">
        <v>44620</v>
      </c>
      <c r="P157" s="515">
        <v>44620</v>
      </c>
      <c r="Q157" s="516">
        <v>0</v>
      </c>
    </row>
    <row r="158" spans="1:17" ht="16.5">
      <c r="A158" s="9">
        <v>2022</v>
      </c>
      <c r="B158" s="10" t="s">
        <v>748</v>
      </c>
      <c r="C158" s="511" t="s">
        <v>749</v>
      </c>
      <c r="D158" s="512">
        <v>218000</v>
      </c>
      <c r="E158" s="512">
        <v>0</v>
      </c>
      <c r="F158" s="512"/>
      <c r="G158" s="512">
        <v>81226</v>
      </c>
      <c r="H158" s="512" t="s">
        <v>278</v>
      </c>
      <c r="I158" s="512" t="s">
        <v>755</v>
      </c>
      <c r="J158" s="512" t="s">
        <v>225</v>
      </c>
      <c r="K158" s="512" t="b">
        <v>1</v>
      </c>
      <c r="L158" s="512">
        <v>10</v>
      </c>
      <c r="M158" s="513">
        <v>2032</v>
      </c>
      <c r="N158" s="514">
        <v>3.6999999999999998E-2</v>
      </c>
      <c r="O158" s="515">
        <v>44620</v>
      </c>
      <c r="P158" s="515">
        <v>44620</v>
      </c>
      <c r="Q158" s="516">
        <v>0</v>
      </c>
    </row>
    <row r="159" spans="1:17" ht="16.5">
      <c r="A159" s="9">
        <v>2022</v>
      </c>
      <c r="B159" s="10" t="s">
        <v>748</v>
      </c>
      <c r="C159" s="511" t="s">
        <v>749</v>
      </c>
      <c r="D159" s="512">
        <v>218000</v>
      </c>
      <c r="E159" s="512">
        <v>0</v>
      </c>
      <c r="F159" s="512"/>
      <c r="G159" s="512">
        <v>81226</v>
      </c>
      <c r="H159" s="512" t="s">
        <v>278</v>
      </c>
      <c r="I159" s="512" t="s">
        <v>755</v>
      </c>
      <c r="J159" s="512" t="s">
        <v>225</v>
      </c>
      <c r="K159" s="512" t="b">
        <v>1</v>
      </c>
      <c r="L159" s="512">
        <v>7</v>
      </c>
      <c r="M159" s="513">
        <v>2029</v>
      </c>
      <c r="N159" s="514">
        <v>3.7400000000000003E-2</v>
      </c>
      <c r="O159" s="515">
        <v>44620</v>
      </c>
      <c r="P159" s="515">
        <v>44620</v>
      </c>
      <c r="Q159" s="516">
        <v>0</v>
      </c>
    </row>
    <row r="160" spans="1:17" ht="16.5">
      <c r="A160" s="9">
        <v>2022</v>
      </c>
      <c r="B160" s="10" t="s">
        <v>748</v>
      </c>
      <c r="C160" s="511" t="s">
        <v>749</v>
      </c>
      <c r="D160" s="512">
        <v>218000</v>
      </c>
      <c r="E160" s="512">
        <v>0</v>
      </c>
      <c r="F160" s="512"/>
      <c r="G160" s="512">
        <v>81226</v>
      </c>
      <c r="H160" s="512" t="s">
        <v>278</v>
      </c>
      <c r="I160" s="512" t="s">
        <v>755</v>
      </c>
      <c r="J160" s="512" t="s">
        <v>225</v>
      </c>
      <c r="K160" s="512" t="b">
        <v>1</v>
      </c>
      <c r="L160" s="512">
        <v>2</v>
      </c>
      <c r="M160" s="513">
        <v>2024</v>
      </c>
      <c r="N160" s="514">
        <v>6.2199999999999998E-2</v>
      </c>
      <c r="O160" s="515">
        <v>44620</v>
      </c>
      <c r="P160" s="515">
        <v>44620</v>
      </c>
      <c r="Q160" s="516">
        <v>0</v>
      </c>
    </row>
    <row r="161" spans="1:17" ht="16.5">
      <c r="A161" s="9">
        <v>2022</v>
      </c>
      <c r="B161" s="10" t="s">
        <v>748</v>
      </c>
      <c r="C161" s="511" t="s">
        <v>749</v>
      </c>
      <c r="D161" s="512">
        <v>218000</v>
      </c>
      <c r="E161" s="512">
        <v>0</v>
      </c>
      <c r="F161" s="512"/>
      <c r="G161" s="512">
        <v>21210</v>
      </c>
      <c r="H161" s="512" t="s">
        <v>269</v>
      </c>
      <c r="I161" s="512"/>
      <c r="J161" s="512" t="s">
        <v>195</v>
      </c>
      <c r="K161" s="512" t="b">
        <v>1</v>
      </c>
      <c r="L161" s="512">
        <v>2</v>
      </c>
      <c r="M161" s="513">
        <v>2024</v>
      </c>
      <c r="N161" s="514">
        <v>0</v>
      </c>
      <c r="O161" s="515">
        <v>44620</v>
      </c>
      <c r="P161" s="515">
        <v>44620</v>
      </c>
      <c r="Q161" s="516">
        <v>0</v>
      </c>
    </row>
    <row r="162" spans="1:17" ht="16.5">
      <c r="A162" s="9">
        <v>2022</v>
      </c>
      <c r="B162" s="10" t="s">
        <v>748</v>
      </c>
      <c r="C162" s="511" t="s">
        <v>749</v>
      </c>
      <c r="D162" s="512">
        <v>218000</v>
      </c>
      <c r="E162" s="512">
        <v>0</v>
      </c>
      <c r="F162" s="512"/>
      <c r="G162" s="512">
        <v>81226</v>
      </c>
      <c r="H162" s="512" t="s">
        <v>278</v>
      </c>
      <c r="I162" s="512" t="s">
        <v>755</v>
      </c>
      <c r="J162" s="512" t="s">
        <v>225</v>
      </c>
      <c r="K162" s="512" t="b">
        <v>1</v>
      </c>
      <c r="L162" s="512">
        <v>9</v>
      </c>
      <c r="M162" s="513">
        <v>2031</v>
      </c>
      <c r="N162" s="514">
        <v>3.3799999999999997E-2</v>
      </c>
      <c r="O162" s="515">
        <v>44620</v>
      </c>
      <c r="P162" s="515">
        <v>44620</v>
      </c>
      <c r="Q162" s="516">
        <v>0</v>
      </c>
    </row>
    <row r="163" spans="1:17" ht="16.5">
      <c r="A163" s="9">
        <v>2022</v>
      </c>
      <c r="B163" s="10" t="s">
        <v>748</v>
      </c>
      <c r="C163" s="511" t="s">
        <v>749</v>
      </c>
      <c r="D163" s="512">
        <v>218000</v>
      </c>
      <c r="E163" s="512">
        <v>0</v>
      </c>
      <c r="F163" s="512"/>
      <c r="G163" s="512">
        <v>81226</v>
      </c>
      <c r="H163" s="512" t="s">
        <v>278</v>
      </c>
      <c r="I163" s="512" t="s">
        <v>755</v>
      </c>
      <c r="J163" s="512" t="s">
        <v>225</v>
      </c>
      <c r="K163" s="512" t="b">
        <v>1</v>
      </c>
      <c r="L163" s="512">
        <v>1</v>
      </c>
      <c r="M163" s="513">
        <v>2023</v>
      </c>
      <c r="N163" s="514">
        <v>6.83E-2</v>
      </c>
      <c r="O163" s="515">
        <v>44620</v>
      </c>
      <c r="P163" s="515">
        <v>44620</v>
      </c>
      <c r="Q163" s="516">
        <v>0</v>
      </c>
    </row>
    <row r="164" spans="1:17" ht="16.5">
      <c r="A164" s="9">
        <v>2022</v>
      </c>
      <c r="B164" s="10" t="s">
        <v>748</v>
      </c>
      <c r="C164" s="511" t="s">
        <v>749</v>
      </c>
      <c r="D164" s="512">
        <v>218000</v>
      </c>
      <c r="E164" s="512">
        <v>0</v>
      </c>
      <c r="F164" s="512"/>
      <c r="G164" s="512">
        <v>82220</v>
      </c>
      <c r="H164" s="512" t="s">
        <v>279</v>
      </c>
      <c r="I164" s="512" t="s">
        <v>756</v>
      </c>
      <c r="J164" s="512" t="s">
        <v>227</v>
      </c>
      <c r="K164" s="512" t="b">
        <v>0</v>
      </c>
      <c r="L164" s="512">
        <v>6</v>
      </c>
      <c r="M164" s="513">
        <v>2028</v>
      </c>
      <c r="N164" s="514">
        <v>0</v>
      </c>
      <c r="O164" s="515">
        <v>44620</v>
      </c>
      <c r="P164" s="515">
        <v>44620</v>
      </c>
      <c r="Q164" s="516">
        <v>0</v>
      </c>
    </row>
    <row r="165" spans="1:17" ht="16.5">
      <c r="A165" s="9">
        <v>2022</v>
      </c>
      <c r="B165" s="10" t="s">
        <v>748</v>
      </c>
      <c r="C165" s="511" t="s">
        <v>749</v>
      </c>
      <c r="D165" s="512">
        <v>218000</v>
      </c>
      <c r="E165" s="512">
        <v>0</v>
      </c>
      <c r="F165" s="512"/>
      <c r="G165" s="512">
        <v>82220</v>
      </c>
      <c r="H165" s="512" t="s">
        <v>279</v>
      </c>
      <c r="I165" s="512" t="s">
        <v>756</v>
      </c>
      <c r="J165" s="512" t="s">
        <v>227</v>
      </c>
      <c r="K165" s="512" t="b">
        <v>0</v>
      </c>
      <c r="L165" s="512">
        <v>5</v>
      </c>
      <c r="M165" s="513">
        <v>2027</v>
      </c>
      <c r="N165" s="514">
        <v>0</v>
      </c>
      <c r="O165" s="515">
        <v>44620</v>
      </c>
      <c r="P165" s="515">
        <v>44620</v>
      </c>
      <c r="Q165" s="516">
        <v>0</v>
      </c>
    </row>
    <row r="166" spans="1:17" ht="16.5">
      <c r="A166" s="9">
        <v>2022</v>
      </c>
      <c r="B166" s="10" t="s">
        <v>748</v>
      </c>
      <c r="C166" s="511" t="s">
        <v>749</v>
      </c>
      <c r="D166" s="512">
        <v>218000</v>
      </c>
      <c r="E166" s="512">
        <v>0</v>
      </c>
      <c r="F166" s="512"/>
      <c r="G166" s="512">
        <v>82220</v>
      </c>
      <c r="H166" s="512" t="s">
        <v>279</v>
      </c>
      <c r="I166" s="512" t="s">
        <v>756</v>
      </c>
      <c r="J166" s="512" t="s">
        <v>227</v>
      </c>
      <c r="K166" s="512" t="b">
        <v>0</v>
      </c>
      <c r="L166" s="512">
        <v>11</v>
      </c>
      <c r="M166" s="513">
        <v>2033</v>
      </c>
      <c r="N166" s="514">
        <v>0</v>
      </c>
      <c r="O166" s="515">
        <v>44620</v>
      </c>
      <c r="P166" s="515">
        <v>44620</v>
      </c>
      <c r="Q166" s="516">
        <v>0</v>
      </c>
    </row>
    <row r="167" spans="1:17" ht="16.5">
      <c r="A167" s="9">
        <v>2022</v>
      </c>
      <c r="B167" s="10" t="s">
        <v>748</v>
      </c>
      <c r="C167" s="511" t="s">
        <v>749</v>
      </c>
      <c r="D167" s="512">
        <v>218000</v>
      </c>
      <c r="E167" s="512">
        <v>0</v>
      </c>
      <c r="F167" s="512"/>
      <c r="G167" s="512">
        <v>82220</v>
      </c>
      <c r="H167" s="512" t="s">
        <v>279</v>
      </c>
      <c r="I167" s="512" t="s">
        <v>756</v>
      </c>
      <c r="J167" s="512" t="s">
        <v>227</v>
      </c>
      <c r="K167" s="512" t="b">
        <v>0</v>
      </c>
      <c r="L167" s="512">
        <v>10</v>
      </c>
      <c r="M167" s="513">
        <v>2032</v>
      </c>
      <c r="N167" s="514">
        <v>0</v>
      </c>
      <c r="O167" s="515">
        <v>44620</v>
      </c>
      <c r="P167" s="515">
        <v>44620</v>
      </c>
      <c r="Q167" s="516">
        <v>0</v>
      </c>
    </row>
    <row r="168" spans="1:17" ht="16.5">
      <c r="A168" s="9">
        <v>2022</v>
      </c>
      <c r="B168" s="10" t="s">
        <v>748</v>
      </c>
      <c r="C168" s="511" t="s">
        <v>749</v>
      </c>
      <c r="D168" s="512">
        <v>218000</v>
      </c>
      <c r="E168" s="512">
        <v>0</v>
      </c>
      <c r="F168" s="512"/>
      <c r="G168" s="512">
        <v>82220</v>
      </c>
      <c r="H168" s="512" t="s">
        <v>279</v>
      </c>
      <c r="I168" s="512" t="s">
        <v>756</v>
      </c>
      <c r="J168" s="512" t="s">
        <v>227</v>
      </c>
      <c r="K168" s="512" t="b">
        <v>0</v>
      </c>
      <c r="L168" s="512">
        <v>8</v>
      </c>
      <c r="M168" s="513">
        <v>2030</v>
      </c>
      <c r="N168" s="514">
        <v>0</v>
      </c>
      <c r="O168" s="515">
        <v>44620</v>
      </c>
      <c r="P168" s="515">
        <v>44620</v>
      </c>
      <c r="Q168" s="516">
        <v>0</v>
      </c>
    </row>
    <row r="169" spans="1:17" ht="16.5">
      <c r="A169" s="9">
        <v>2022</v>
      </c>
      <c r="B169" s="10" t="s">
        <v>748</v>
      </c>
      <c r="C169" s="511" t="s">
        <v>749</v>
      </c>
      <c r="D169" s="512">
        <v>218000</v>
      </c>
      <c r="E169" s="512">
        <v>0</v>
      </c>
      <c r="F169" s="512"/>
      <c r="G169" s="512">
        <v>82220</v>
      </c>
      <c r="H169" s="512" t="s">
        <v>279</v>
      </c>
      <c r="I169" s="512" t="s">
        <v>756</v>
      </c>
      <c r="J169" s="512" t="s">
        <v>227</v>
      </c>
      <c r="K169" s="512" t="b">
        <v>0</v>
      </c>
      <c r="L169" s="512">
        <v>7</v>
      </c>
      <c r="M169" s="513">
        <v>2029</v>
      </c>
      <c r="N169" s="514">
        <v>0</v>
      </c>
      <c r="O169" s="515">
        <v>44620</v>
      </c>
      <c r="P169" s="515">
        <v>44620</v>
      </c>
      <c r="Q169" s="516">
        <v>0</v>
      </c>
    </row>
    <row r="170" spans="1:17" ht="16.5">
      <c r="A170" s="9">
        <v>2022</v>
      </c>
      <c r="B170" s="10" t="s">
        <v>748</v>
      </c>
      <c r="C170" s="511" t="s">
        <v>749</v>
      </c>
      <c r="D170" s="512">
        <v>218000</v>
      </c>
      <c r="E170" s="512">
        <v>0</v>
      </c>
      <c r="F170" s="512"/>
      <c r="G170" s="512">
        <v>82220</v>
      </c>
      <c r="H170" s="512" t="s">
        <v>279</v>
      </c>
      <c r="I170" s="512" t="s">
        <v>756</v>
      </c>
      <c r="J170" s="512" t="s">
        <v>227</v>
      </c>
      <c r="K170" s="512" t="b">
        <v>0</v>
      </c>
      <c r="L170" s="512">
        <v>0</v>
      </c>
      <c r="M170" s="513">
        <v>2022</v>
      </c>
      <c r="N170" s="514">
        <v>5.11E-2</v>
      </c>
      <c r="O170" s="515">
        <v>44620</v>
      </c>
      <c r="P170" s="515">
        <v>44620</v>
      </c>
      <c r="Q170" s="516">
        <v>0</v>
      </c>
    </row>
    <row r="171" spans="1:17" ht="16.5">
      <c r="A171" s="9">
        <v>2022</v>
      </c>
      <c r="B171" s="10" t="s">
        <v>748</v>
      </c>
      <c r="C171" s="511" t="s">
        <v>749</v>
      </c>
      <c r="D171" s="512">
        <v>218000</v>
      </c>
      <c r="E171" s="512">
        <v>0</v>
      </c>
      <c r="F171" s="512"/>
      <c r="G171" s="512">
        <v>82220</v>
      </c>
      <c r="H171" s="512" t="s">
        <v>279</v>
      </c>
      <c r="I171" s="512" t="s">
        <v>756</v>
      </c>
      <c r="J171" s="512" t="s">
        <v>227</v>
      </c>
      <c r="K171" s="512" t="b">
        <v>0</v>
      </c>
      <c r="L171" s="512">
        <v>2</v>
      </c>
      <c r="M171" s="513">
        <v>2024</v>
      </c>
      <c r="N171" s="514">
        <v>7.5800000000000006E-2</v>
      </c>
      <c r="O171" s="515">
        <v>44620</v>
      </c>
      <c r="P171" s="515">
        <v>44620</v>
      </c>
      <c r="Q171" s="516">
        <v>0</v>
      </c>
    </row>
    <row r="172" spans="1:17" ht="16.5">
      <c r="A172" s="9">
        <v>2022</v>
      </c>
      <c r="B172" s="10" t="s">
        <v>748</v>
      </c>
      <c r="C172" s="511" t="s">
        <v>749</v>
      </c>
      <c r="D172" s="512">
        <v>218000</v>
      </c>
      <c r="E172" s="512">
        <v>0</v>
      </c>
      <c r="F172" s="512"/>
      <c r="G172" s="512">
        <v>82220</v>
      </c>
      <c r="H172" s="512" t="s">
        <v>279</v>
      </c>
      <c r="I172" s="512" t="s">
        <v>756</v>
      </c>
      <c r="J172" s="512" t="s">
        <v>227</v>
      </c>
      <c r="K172" s="512" t="b">
        <v>0</v>
      </c>
      <c r="L172" s="512">
        <v>4</v>
      </c>
      <c r="M172" s="513">
        <v>2026</v>
      </c>
      <c r="N172" s="514">
        <v>0</v>
      </c>
      <c r="O172" s="515">
        <v>44620</v>
      </c>
      <c r="P172" s="515">
        <v>44620</v>
      </c>
      <c r="Q172" s="516">
        <v>0</v>
      </c>
    </row>
    <row r="173" spans="1:17" ht="16.5">
      <c r="A173" s="9">
        <v>2022</v>
      </c>
      <c r="B173" s="10" t="s">
        <v>748</v>
      </c>
      <c r="C173" s="511" t="s">
        <v>749</v>
      </c>
      <c r="D173" s="512">
        <v>218000</v>
      </c>
      <c r="E173" s="512">
        <v>0</v>
      </c>
      <c r="F173" s="512"/>
      <c r="G173" s="512">
        <v>82220</v>
      </c>
      <c r="H173" s="512" t="s">
        <v>279</v>
      </c>
      <c r="I173" s="512" t="s">
        <v>756</v>
      </c>
      <c r="J173" s="512" t="s">
        <v>227</v>
      </c>
      <c r="K173" s="512" t="b">
        <v>0</v>
      </c>
      <c r="L173" s="512">
        <v>3</v>
      </c>
      <c r="M173" s="513">
        <v>2025</v>
      </c>
      <c r="N173" s="514">
        <v>0</v>
      </c>
      <c r="O173" s="515">
        <v>44620</v>
      </c>
      <c r="P173" s="515">
        <v>44620</v>
      </c>
      <c r="Q173" s="516">
        <v>0</v>
      </c>
    </row>
    <row r="174" spans="1:17" ht="16.5">
      <c r="A174" s="9">
        <v>2022</v>
      </c>
      <c r="B174" s="10" t="s">
        <v>748</v>
      </c>
      <c r="C174" s="511" t="s">
        <v>749</v>
      </c>
      <c r="D174" s="512">
        <v>218000</v>
      </c>
      <c r="E174" s="512">
        <v>0</v>
      </c>
      <c r="F174" s="512"/>
      <c r="G174" s="512">
        <v>82220</v>
      </c>
      <c r="H174" s="512" t="s">
        <v>279</v>
      </c>
      <c r="I174" s="512" t="s">
        <v>756</v>
      </c>
      <c r="J174" s="512" t="s">
        <v>227</v>
      </c>
      <c r="K174" s="512" t="b">
        <v>0</v>
      </c>
      <c r="L174" s="512">
        <v>1</v>
      </c>
      <c r="M174" s="513">
        <v>2023</v>
      </c>
      <c r="N174" s="514">
        <v>7.6899999999999996E-2</v>
      </c>
      <c r="O174" s="515">
        <v>44620</v>
      </c>
      <c r="P174" s="515">
        <v>44620</v>
      </c>
      <c r="Q174" s="516">
        <v>0</v>
      </c>
    </row>
    <row r="175" spans="1:17" ht="16.5">
      <c r="A175" s="9">
        <v>2022</v>
      </c>
      <c r="B175" s="10" t="s">
        <v>748</v>
      </c>
      <c r="C175" s="511" t="s">
        <v>749</v>
      </c>
      <c r="D175" s="512">
        <v>218000</v>
      </c>
      <c r="E175" s="512">
        <v>0</v>
      </c>
      <c r="F175" s="512"/>
      <c r="G175" s="512">
        <v>82220</v>
      </c>
      <c r="H175" s="512" t="s">
        <v>279</v>
      </c>
      <c r="I175" s="512" t="s">
        <v>756</v>
      </c>
      <c r="J175" s="512" t="s">
        <v>227</v>
      </c>
      <c r="K175" s="512" t="b">
        <v>0</v>
      </c>
      <c r="L175" s="512">
        <v>9</v>
      </c>
      <c r="M175" s="513">
        <v>2031</v>
      </c>
      <c r="N175" s="514">
        <v>0</v>
      </c>
      <c r="O175" s="515">
        <v>44620</v>
      </c>
      <c r="P175" s="515">
        <v>44620</v>
      </c>
      <c r="Q175" s="516">
        <v>0</v>
      </c>
    </row>
    <row r="176" spans="1:17" ht="16.5">
      <c r="A176" s="9">
        <v>2022</v>
      </c>
      <c r="B176" s="10" t="s">
        <v>748</v>
      </c>
      <c r="C176" s="511" t="s">
        <v>749</v>
      </c>
      <c r="D176" s="512">
        <v>218000</v>
      </c>
      <c r="E176" s="512">
        <v>0</v>
      </c>
      <c r="F176" s="512"/>
      <c r="G176" s="512">
        <v>21210</v>
      </c>
      <c r="H176" s="512" t="s">
        <v>269</v>
      </c>
      <c r="I176" s="512"/>
      <c r="J176" s="512" t="s">
        <v>195</v>
      </c>
      <c r="K176" s="512" t="b">
        <v>1</v>
      </c>
      <c r="L176" s="512">
        <v>11</v>
      </c>
      <c r="M176" s="513">
        <v>2033</v>
      </c>
      <c r="N176" s="514">
        <v>0</v>
      </c>
      <c r="O176" s="515">
        <v>44620</v>
      </c>
      <c r="P176" s="515">
        <v>44620</v>
      </c>
      <c r="Q176" s="516">
        <v>0</v>
      </c>
    </row>
    <row r="177" spans="1:17" ht="16.5">
      <c r="A177" s="9">
        <v>2022</v>
      </c>
      <c r="B177" s="10" t="s">
        <v>748</v>
      </c>
      <c r="C177" s="511" t="s">
        <v>749</v>
      </c>
      <c r="D177" s="512">
        <v>218000</v>
      </c>
      <c r="E177" s="512">
        <v>0</v>
      </c>
      <c r="F177" s="512"/>
      <c r="G177" s="512">
        <v>21210</v>
      </c>
      <c r="H177" s="512" t="s">
        <v>269</v>
      </c>
      <c r="I177" s="512"/>
      <c r="J177" s="512" t="s">
        <v>195</v>
      </c>
      <c r="K177" s="512" t="b">
        <v>1</v>
      </c>
      <c r="L177" s="512">
        <v>10</v>
      </c>
      <c r="M177" s="513">
        <v>2032</v>
      </c>
      <c r="N177" s="514">
        <v>0</v>
      </c>
      <c r="O177" s="515">
        <v>44620</v>
      </c>
      <c r="P177" s="515">
        <v>44620</v>
      </c>
      <c r="Q177" s="516">
        <v>0</v>
      </c>
    </row>
    <row r="178" spans="1:17" ht="16.5">
      <c r="A178" s="9">
        <v>2022</v>
      </c>
      <c r="B178" s="10" t="s">
        <v>748</v>
      </c>
      <c r="C178" s="511" t="s">
        <v>749</v>
      </c>
      <c r="D178" s="512">
        <v>218000</v>
      </c>
      <c r="E178" s="512">
        <v>0</v>
      </c>
      <c r="F178" s="512"/>
      <c r="G178" s="512">
        <v>21210</v>
      </c>
      <c r="H178" s="512" t="s">
        <v>269</v>
      </c>
      <c r="I178" s="512"/>
      <c r="J178" s="512" t="s">
        <v>195</v>
      </c>
      <c r="K178" s="512" t="b">
        <v>1</v>
      </c>
      <c r="L178" s="512">
        <v>8</v>
      </c>
      <c r="M178" s="513">
        <v>2030</v>
      </c>
      <c r="N178" s="514">
        <v>0</v>
      </c>
      <c r="O178" s="515">
        <v>44620</v>
      </c>
      <c r="P178" s="515">
        <v>44620</v>
      </c>
      <c r="Q178" s="516">
        <v>0</v>
      </c>
    </row>
    <row r="179" spans="1:17" ht="16.5">
      <c r="A179" s="9">
        <v>2022</v>
      </c>
      <c r="B179" s="10" t="s">
        <v>748</v>
      </c>
      <c r="C179" s="511" t="s">
        <v>749</v>
      </c>
      <c r="D179" s="512">
        <v>218000</v>
      </c>
      <c r="E179" s="512">
        <v>0</v>
      </c>
      <c r="F179" s="512"/>
      <c r="G179" s="512">
        <v>21210</v>
      </c>
      <c r="H179" s="512" t="s">
        <v>269</v>
      </c>
      <c r="I179" s="512"/>
      <c r="J179" s="512" t="s">
        <v>195</v>
      </c>
      <c r="K179" s="512" t="b">
        <v>1</v>
      </c>
      <c r="L179" s="512">
        <v>3</v>
      </c>
      <c r="M179" s="513">
        <v>2025</v>
      </c>
      <c r="N179" s="514">
        <v>0</v>
      </c>
      <c r="O179" s="515">
        <v>44620</v>
      </c>
      <c r="P179" s="515">
        <v>44620</v>
      </c>
      <c r="Q179" s="516">
        <v>0</v>
      </c>
    </row>
    <row r="180" spans="1:17" ht="16.5">
      <c r="A180" s="9">
        <v>2022</v>
      </c>
      <c r="B180" s="10" t="s">
        <v>748</v>
      </c>
      <c r="C180" s="511" t="s">
        <v>749</v>
      </c>
      <c r="D180" s="512">
        <v>218000</v>
      </c>
      <c r="E180" s="512">
        <v>0</v>
      </c>
      <c r="F180" s="512"/>
      <c r="G180" s="512">
        <v>21210</v>
      </c>
      <c r="H180" s="512" t="s">
        <v>269</v>
      </c>
      <c r="I180" s="512"/>
      <c r="J180" s="512" t="s">
        <v>195</v>
      </c>
      <c r="K180" s="512" t="b">
        <v>1</v>
      </c>
      <c r="L180" s="512">
        <v>4</v>
      </c>
      <c r="M180" s="513">
        <v>2026</v>
      </c>
      <c r="N180" s="514">
        <v>0</v>
      </c>
      <c r="O180" s="515">
        <v>44620</v>
      </c>
      <c r="P180" s="515">
        <v>44620</v>
      </c>
      <c r="Q180" s="516">
        <v>0</v>
      </c>
    </row>
    <row r="181" spans="1:17" ht="16.5">
      <c r="A181" s="9">
        <v>2022</v>
      </c>
      <c r="B181" s="10" t="s">
        <v>748</v>
      </c>
      <c r="C181" s="511" t="s">
        <v>749</v>
      </c>
      <c r="D181" s="512">
        <v>218000</v>
      </c>
      <c r="E181" s="512">
        <v>0</v>
      </c>
      <c r="F181" s="512"/>
      <c r="G181" s="512">
        <v>21210</v>
      </c>
      <c r="H181" s="512" t="s">
        <v>269</v>
      </c>
      <c r="I181" s="512"/>
      <c r="J181" s="512" t="s">
        <v>195</v>
      </c>
      <c r="K181" s="512" t="b">
        <v>1</v>
      </c>
      <c r="L181" s="512">
        <v>0</v>
      </c>
      <c r="M181" s="513">
        <v>2022</v>
      </c>
      <c r="N181" s="514">
        <v>0</v>
      </c>
      <c r="O181" s="515">
        <v>44620</v>
      </c>
      <c r="P181" s="515">
        <v>44620</v>
      </c>
      <c r="Q181" s="516">
        <v>0</v>
      </c>
    </row>
    <row r="182" spans="1:17" ht="16.5">
      <c r="A182" s="9">
        <v>2022</v>
      </c>
      <c r="B182" s="10" t="s">
        <v>748</v>
      </c>
      <c r="C182" s="511" t="s">
        <v>749</v>
      </c>
      <c r="D182" s="512">
        <v>218000</v>
      </c>
      <c r="E182" s="512">
        <v>0</v>
      </c>
      <c r="F182" s="512"/>
      <c r="G182" s="512">
        <v>21210</v>
      </c>
      <c r="H182" s="512" t="s">
        <v>269</v>
      </c>
      <c r="I182" s="512"/>
      <c r="J182" s="512" t="s">
        <v>195</v>
      </c>
      <c r="K182" s="512" t="b">
        <v>1</v>
      </c>
      <c r="L182" s="512">
        <v>5</v>
      </c>
      <c r="M182" s="513">
        <v>2027</v>
      </c>
      <c r="N182" s="514">
        <v>0</v>
      </c>
      <c r="O182" s="515">
        <v>44620</v>
      </c>
      <c r="P182" s="515">
        <v>44620</v>
      </c>
      <c r="Q182" s="516">
        <v>0</v>
      </c>
    </row>
    <row r="183" spans="1:17" ht="16.5">
      <c r="A183" s="9">
        <v>2022</v>
      </c>
      <c r="B183" s="10" t="s">
        <v>748</v>
      </c>
      <c r="C183" s="511" t="s">
        <v>749</v>
      </c>
      <c r="D183" s="512">
        <v>218000</v>
      </c>
      <c r="E183" s="512">
        <v>0</v>
      </c>
      <c r="F183" s="512"/>
      <c r="G183" s="512">
        <v>21210</v>
      </c>
      <c r="H183" s="512" t="s">
        <v>269</v>
      </c>
      <c r="I183" s="512"/>
      <c r="J183" s="512" t="s">
        <v>195</v>
      </c>
      <c r="K183" s="512" t="b">
        <v>1</v>
      </c>
      <c r="L183" s="512">
        <v>6</v>
      </c>
      <c r="M183" s="513">
        <v>2028</v>
      </c>
      <c r="N183" s="514">
        <v>0</v>
      </c>
      <c r="O183" s="515">
        <v>44620</v>
      </c>
      <c r="P183" s="515">
        <v>44620</v>
      </c>
      <c r="Q183" s="516">
        <v>0</v>
      </c>
    </row>
    <row r="184" spans="1:17" ht="16.5">
      <c r="A184" s="9">
        <v>2022</v>
      </c>
      <c r="B184" s="10" t="s">
        <v>748</v>
      </c>
      <c r="C184" s="511" t="s">
        <v>749</v>
      </c>
      <c r="D184" s="512">
        <v>218000</v>
      </c>
      <c r="E184" s="512">
        <v>0</v>
      </c>
      <c r="F184" s="512"/>
      <c r="G184" s="512">
        <v>21210</v>
      </c>
      <c r="H184" s="512" t="s">
        <v>269</v>
      </c>
      <c r="I184" s="512"/>
      <c r="J184" s="512" t="s">
        <v>195</v>
      </c>
      <c r="K184" s="512" t="b">
        <v>1</v>
      </c>
      <c r="L184" s="512">
        <v>9</v>
      </c>
      <c r="M184" s="513">
        <v>2031</v>
      </c>
      <c r="N184" s="514">
        <v>0</v>
      </c>
      <c r="O184" s="515">
        <v>44620</v>
      </c>
      <c r="P184" s="515">
        <v>44620</v>
      </c>
      <c r="Q184" s="516">
        <v>0</v>
      </c>
    </row>
    <row r="185" spans="1:17" ht="16.5">
      <c r="A185" s="9">
        <v>2022</v>
      </c>
      <c r="B185" s="10" t="s">
        <v>748</v>
      </c>
      <c r="C185" s="511" t="s">
        <v>749</v>
      </c>
      <c r="D185" s="512">
        <v>218000</v>
      </c>
      <c r="E185" s="512">
        <v>0</v>
      </c>
      <c r="F185" s="512"/>
      <c r="G185" s="512">
        <v>21210</v>
      </c>
      <c r="H185" s="512" t="s">
        <v>269</v>
      </c>
      <c r="I185" s="512"/>
      <c r="J185" s="512" t="s">
        <v>195</v>
      </c>
      <c r="K185" s="512" t="b">
        <v>1</v>
      </c>
      <c r="L185" s="512">
        <v>1</v>
      </c>
      <c r="M185" s="513">
        <v>2023</v>
      </c>
      <c r="N185" s="514">
        <v>0</v>
      </c>
      <c r="O185" s="515">
        <v>44620</v>
      </c>
      <c r="P185" s="515">
        <v>44620</v>
      </c>
      <c r="Q185" s="516">
        <v>0</v>
      </c>
    </row>
    <row r="186" spans="1:17" ht="16.5">
      <c r="A186" s="9">
        <v>2022</v>
      </c>
      <c r="B186" s="10" t="s">
        <v>748</v>
      </c>
      <c r="C186" s="511" t="s">
        <v>749</v>
      </c>
      <c r="D186" s="512">
        <v>218000</v>
      </c>
      <c r="E186" s="512">
        <v>0</v>
      </c>
      <c r="F186" s="512"/>
      <c r="G186" s="512">
        <v>21210</v>
      </c>
      <c r="H186" s="512" t="s">
        <v>269</v>
      </c>
      <c r="I186" s="512"/>
      <c r="J186" s="512" t="s">
        <v>195</v>
      </c>
      <c r="K186" s="512" t="b">
        <v>1</v>
      </c>
      <c r="L186" s="512">
        <v>7</v>
      </c>
      <c r="M186" s="513">
        <v>2029</v>
      </c>
      <c r="N186" s="514">
        <v>0</v>
      </c>
      <c r="O186" s="515">
        <v>44620</v>
      </c>
      <c r="P186" s="515">
        <v>44620</v>
      </c>
      <c r="Q186" s="516">
        <v>0</v>
      </c>
    </row>
    <row r="187" spans="1:17" ht="16.5">
      <c r="A187" s="9">
        <v>2022</v>
      </c>
      <c r="B187" s="10" t="s">
        <v>748</v>
      </c>
      <c r="C187" s="511" t="s">
        <v>749</v>
      </c>
      <c r="D187" s="512">
        <v>218000</v>
      </c>
      <c r="E187" s="512">
        <v>0</v>
      </c>
      <c r="F187" s="512"/>
      <c r="G187" s="512">
        <v>94110</v>
      </c>
      <c r="H187" s="512" t="s">
        <v>290</v>
      </c>
      <c r="I187" s="512"/>
      <c r="J187" s="512" t="s">
        <v>241</v>
      </c>
      <c r="K187" s="512" t="b">
        <v>1</v>
      </c>
      <c r="L187" s="512">
        <v>9</v>
      </c>
      <c r="M187" s="513">
        <v>2031</v>
      </c>
      <c r="N187" s="514">
        <v>0</v>
      </c>
      <c r="O187" s="515">
        <v>44620</v>
      </c>
      <c r="P187" s="515">
        <v>44620</v>
      </c>
      <c r="Q187" s="516">
        <v>0</v>
      </c>
    </row>
    <row r="188" spans="1:17" ht="16.5">
      <c r="A188" s="9">
        <v>2022</v>
      </c>
      <c r="B188" s="10" t="s">
        <v>748</v>
      </c>
      <c r="C188" s="511" t="s">
        <v>749</v>
      </c>
      <c r="D188" s="512">
        <v>218000</v>
      </c>
      <c r="E188" s="512">
        <v>0</v>
      </c>
      <c r="F188" s="512"/>
      <c r="G188" s="512">
        <v>94110</v>
      </c>
      <c r="H188" s="512" t="s">
        <v>290</v>
      </c>
      <c r="I188" s="512"/>
      <c r="J188" s="512" t="s">
        <v>241</v>
      </c>
      <c r="K188" s="512" t="b">
        <v>1</v>
      </c>
      <c r="L188" s="512">
        <v>8</v>
      </c>
      <c r="M188" s="513">
        <v>2030</v>
      </c>
      <c r="N188" s="514">
        <v>0</v>
      </c>
      <c r="O188" s="515">
        <v>44620</v>
      </c>
      <c r="P188" s="515">
        <v>44620</v>
      </c>
      <c r="Q188" s="516">
        <v>0</v>
      </c>
    </row>
    <row r="189" spans="1:17" ht="16.5">
      <c r="A189" s="9">
        <v>2022</v>
      </c>
      <c r="B189" s="10" t="s">
        <v>748</v>
      </c>
      <c r="C189" s="511" t="s">
        <v>749</v>
      </c>
      <c r="D189" s="512">
        <v>218000</v>
      </c>
      <c r="E189" s="512">
        <v>0</v>
      </c>
      <c r="F189" s="512"/>
      <c r="G189" s="512">
        <v>94110</v>
      </c>
      <c r="H189" s="512" t="s">
        <v>290</v>
      </c>
      <c r="I189" s="512"/>
      <c r="J189" s="512" t="s">
        <v>241</v>
      </c>
      <c r="K189" s="512" t="b">
        <v>1</v>
      </c>
      <c r="L189" s="512">
        <v>2</v>
      </c>
      <c r="M189" s="513">
        <v>2024</v>
      </c>
      <c r="N189" s="514">
        <v>0</v>
      </c>
      <c r="O189" s="515">
        <v>44620</v>
      </c>
      <c r="P189" s="515">
        <v>44620</v>
      </c>
      <c r="Q189" s="516">
        <v>0</v>
      </c>
    </row>
    <row r="190" spans="1:17" ht="16.5">
      <c r="A190" s="9">
        <v>2022</v>
      </c>
      <c r="B190" s="10" t="s">
        <v>748</v>
      </c>
      <c r="C190" s="511" t="s">
        <v>749</v>
      </c>
      <c r="D190" s="512">
        <v>218000</v>
      </c>
      <c r="E190" s="512">
        <v>0</v>
      </c>
      <c r="F190" s="512"/>
      <c r="G190" s="512">
        <v>94110</v>
      </c>
      <c r="H190" s="512" t="s">
        <v>290</v>
      </c>
      <c r="I190" s="512"/>
      <c r="J190" s="512" t="s">
        <v>241</v>
      </c>
      <c r="K190" s="512" t="b">
        <v>1</v>
      </c>
      <c r="L190" s="512">
        <v>6</v>
      </c>
      <c r="M190" s="513">
        <v>2028</v>
      </c>
      <c r="N190" s="514">
        <v>0</v>
      </c>
      <c r="O190" s="515">
        <v>44620</v>
      </c>
      <c r="P190" s="515">
        <v>44620</v>
      </c>
      <c r="Q190" s="516">
        <v>0</v>
      </c>
    </row>
    <row r="191" spans="1:17" ht="16.5">
      <c r="A191" s="9">
        <v>2022</v>
      </c>
      <c r="B191" s="10" t="s">
        <v>748</v>
      </c>
      <c r="C191" s="511" t="s">
        <v>749</v>
      </c>
      <c r="D191" s="512">
        <v>218000</v>
      </c>
      <c r="E191" s="512">
        <v>0</v>
      </c>
      <c r="F191" s="512"/>
      <c r="G191" s="512">
        <v>94110</v>
      </c>
      <c r="H191" s="512" t="s">
        <v>290</v>
      </c>
      <c r="I191" s="512"/>
      <c r="J191" s="512" t="s">
        <v>241</v>
      </c>
      <c r="K191" s="512" t="b">
        <v>1</v>
      </c>
      <c r="L191" s="512">
        <v>1</v>
      </c>
      <c r="M191" s="513">
        <v>2023</v>
      </c>
      <c r="N191" s="514">
        <v>0</v>
      </c>
      <c r="O191" s="515">
        <v>44620</v>
      </c>
      <c r="P191" s="515">
        <v>44620</v>
      </c>
      <c r="Q191" s="516">
        <v>0</v>
      </c>
    </row>
    <row r="192" spans="1:17" ht="16.5">
      <c r="A192" s="9">
        <v>2022</v>
      </c>
      <c r="B192" s="10" t="s">
        <v>748</v>
      </c>
      <c r="C192" s="511" t="s">
        <v>749</v>
      </c>
      <c r="D192" s="512">
        <v>218000</v>
      </c>
      <c r="E192" s="512">
        <v>0</v>
      </c>
      <c r="F192" s="512"/>
      <c r="G192" s="512">
        <v>94110</v>
      </c>
      <c r="H192" s="512" t="s">
        <v>290</v>
      </c>
      <c r="I192" s="512"/>
      <c r="J192" s="512" t="s">
        <v>241</v>
      </c>
      <c r="K192" s="512" t="b">
        <v>1</v>
      </c>
      <c r="L192" s="512">
        <v>5</v>
      </c>
      <c r="M192" s="513">
        <v>2027</v>
      </c>
      <c r="N192" s="514">
        <v>0</v>
      </c>
      <c r="O192" s="515">
        <v>44620</v>
      </c>
      <c r="P192" s="515">
        <v>44620</v>
      </c>
      <c r="Q192" s="516">
        <v>0</v>
      </c>
    </row>
    <row r="193" spans="1:17" ht="16.5">
      <c r="A193" s="9">
        <v>2022</v>
      </c>
      <c r="B193" s="10" t="s">
        <v>748</v>
      </c>
      <c r="C193" s="511" t="s">
        <v>749</v>
      </c>
      <c r="D193" s="512">
        <v>218000</v>
      </c>
      <c r="E193" s="512">
        <v>0</v>
      </c>
      <c r="F193" s="512"/>
      <c r="G193" s="512">
        <v>94110</v>
      </c>
      <c r="H193" s="512" t="s">
        <v>290</v>
      </c>
      <c r="I193" s="512"/>
      <c r="J193" s="512" t="s">
        <v>241</v>
      </c>
      <c r="K193" s="512" t="b">
        <v>1</v>
      </c>
      <c r="L193" s="512">
        <v>3</v>
      </c>
      <c r="M193" s="513">
        <v>2025</v>
      </c>
      <c r="N193" s="514">
        <v>0</v>
      </c>
      <c r="O193" s="515">
        <v>44620</v>
      </c>
      <c r="P193" s="515">
        <v>44620</v>
      </c>
      <c r="Q193" s="516">
        <v>0</v>
      </c>
    </row>
    <row r="194" spans="1:17" ht="16.5">
      <c r="A194" s="9">
        <v>2022</v>
      </c>
      <c r="B194" s="10" t="s">
        <v>748</v>
      </c>
      <c r="C194" s="511" t="s">
        <v>749</v>
      </c>
      <c r="D194" s="512">
        <v>218000</v>
      </c>
      <c r="E194" s="512">
        <v>0</v>
      </c>
      <c r="F194" s="512"/>
      <c r="G194" s="512">
        <v>94110</v>
      </c>
      <c r="H194" s="512" t="s">
        <v>290</v>
      </c>
      <c r="I194" s="512"/>
      <c r="J194" s="512" t="s">
        <v>241</v>
      </c>
      <c r="K194" s="512" t="b">
        <v>1</v>
      </c>
      <c r="L194" s="512">
        <v>11</v>
      </c>
      <c r="M194" s="513">
        <v>2033</v>
      </c>
      <c r="N194" s="514">
        <v>0</v>
      </c>
      <c r="O194" s="515">
        <v>44620</v>
      </c>
      <c r="P194" s="515">
        <v>44620</v>
      </c>
      <c r="Q194" s="516">
        <v>0</v>
      </c>
    </row>
    <row r="195" spans="1:17" ht="16.5">
      <c r="A195" s="9">
        <v>2022</v>
      </c>
      <c r="B195" s="10" t="s">
        <v>748</v>
      </c>
      <c r="C195" s="511" t="s">
        <v>749</v>
      </c>
      <c r="D195" s="512">
        <v>218000</v>
      </c>
      <c r="E195" s="512">
        <v>0</v>
      </c>
      <c r="F195" s="512"/>
      <c r="G195" s="512">
        <v>94110</v>
      </c>
      <c r="H195" s="512" t="s">
        <v>290</v>
      </c>
      <c r="I195" s="512"/>
      <c r="J195" s="512" t="s">
        <v>241</v>
      </c>
      <c r="K195" s="512" t="b">
        <v>1</v>
      </c>
      <c r="L195" s="512">
        <v>7</v>
      </c>
      <c r="M195" s="513">
        <v>2029</v>
      </c>
      <c r="N195" s="514">
        <v>0</v>
      </c>
      <c r="O195" s="515">
        <v>44620</v>
      </c>
      <c r="P195" s="515">
        <v>44620</v>
      </c>
      <c r="Q195" s="516">
        <v>0</v>
      </c>
    </row>
    <row r="196" spans="1:17" ht="16.5">
      <c r="A196" s="9">
        <v>2022</v>
      </c>
      <c r="B196" s="10" t="s">
        <v>748</v>
      </c>
      <c r="C196" s="511" t="s">
        <v>749</v>
      </c>
      <c r="D196" s="512">
        <v>218000</v>
      </c>
      <c r="E196" s="512">
        <v>0</v>
      </c>
      <c r="F196" s="512"/>
      <c r="G196" s="512">
        <v>94110</v>
      </c>
      <c r="H196" s="512" t="s">
        <v>290</v>
      </c>
      <c r="I196" s="512"/>
      <c r="J196" s="512" t="s">
        <v>241</v>
      </c>
      <c r="K196" s="512" t="b">
        <v>1</v>
      </c>
      <c r="L196" s="512">
        <v>0</v>
      </c>
      <c r="M196" s="513">
        <v>2022</v>
      </c>
      <c r="N196" s="514">
        <v>0</v>
      </c>
      <c r="O196" s="515">
        <v>44620</v>
      </c>
      <c r="P196" s="515">
        <v>44620</v>
      </c>
      <c r="Q196" s="516">
        <v>0</v>
      </c>
    </row>
    <row r="197" spans="1:17" ht="16.5">
      <c r="A197" s="9">
        <v>2022</v>
      </c>
      <c r="B197" s="10" t="s">
        <v>748</v>
      </c>
      <c r="C197" s="511" t="s">
        <v>749</v>
      </c>
      <c r="D197" s="512">
        <v>218000</v>
      </c>
      <c r="E197" s="512">
        <v>0</v>
      </c>
      <c r="F197" s="512"/>
      <c r="G197" s="512">
        <v>94110</v>
      </c>
      <c r="H197" s="512" t="s">
        <v>290</v>
      </c>
      <c r="I197" s="512"/>
      <c r="J197" s="512" t="s">
        <v>241</v>
      </c>
      <c r="K197" s="512" t="b">
        <v>1</v>
      </c>
      <c r="L197" s="512">
        <v>10</v>
      </c>
      <c r="M197" s="513">
        <v>2032</v>
      </c>
      <c r="N197" s="514">
        <v>0</v>
      </c>
      <c r="O197" s="515">
        <v>44620</v>
      </c>
      <c r="P197" s="515">
        <v>44620</v>
      </c>
      <c r="Q197" s="516">
        <v>0</v>
      </c>
    </row>
    <row r="198" spans="1:17" ht="16.5">
      <c r="A198" s="9">
        <v>2022</v>
      </c>
      <c r="B198" s="10" t="s">
        <v>748</v>
      </c>
      <c r="C198" s="511" t="s">
        <v>749</v>
      </c>
      <c r="D198" s="512">
        <v>218000</v>
      </c>
      <c r="E198" s="512">
        <v>0</v>
      </c>
      <c r="F198" s="512"/>
      <c r="G198" s="512">
        <v>94110</v>
      </c>
      <c r="H198" s="512" t="s">
        <v>290</v>
      </c>
      <c r="I198" s="512"/>
      <c r="J198" s="512" t="s">
        <v>241</v>
      </c>
      <c r="K198" s="512" t="b">
        <v>1</v>
      </c>
      <c r="L198" s="512">
        <v>4</v>
      </c>
      <c r="M198" s="513">
        <v>2026</v>
      </c>
      <c r="N198" s="514">
        <v>0</v>
      </c>
      <c r="O198" s="515">
        <v>44620</v>
      </c>
      <c r="P198" s="515">
        <v>44620</v>
      </c>
      <c r="Q198" s="516">
        <v>0</v>
      </c>
    </row>
    <row r="199" spans="1:17" ht="16.5">
      <c r="A199" s="9">
        <v>2022</v>
      </c>
      <c r="B199" s="10" t="s">
        <v>748</v>
      </c>
      <c r="C199" s="511" t="s">
        <v>749</v>
      </c>
      <c r="D199" s="512">
        <v>218000</v>
      </c>
      <c r="E199" s="512">
        <v>0</v>
      </c>
      <c r="F199" s="512"/>
      <c r="G199" s="512">
        <v>11000</v>
      </c>
      <c r="H199" s="512">
        <v>1.1000000000000001</v>
      </c>
      <c r="I199" s="512"/>
      <c r="J199" s="512" t="s">
        <v>182</v>
      </c>
      <c r="K199" s="512" t="b">
        <v>1</v>
      </c>
      <c r="L199" s="512">
        <v>1</v>
      </c>
      <c r="M199" s="513">
        <v>2023</v>
      </c>
      <c r="N199" s="514">
        <v>51408346</v>
      </c>
      <c r="O199" s="515">
        <v>44620</v>
      </c>
      <c r="P199" s="515">
        <v>44620</v>
      </c>
      <c r="Q199" s="516">
        <v>0</v>
      </c>
    </row>
    <row r="200" spans="1:17" ht="16.5">
      <c r="A200" s="9">
        <v>2022</v>
      </c>
      <c r="B200" s="10" t="s">
        <v>748</v>
      </c>
      <c r="C200" s="511" t="s">
        <v>749</v>
      </c>
      <c r="D200" s="512">
        <v>218000</v>
      </c>
      <c r="E200" s="512">
        <v>0</v>
      </c>
      <c r="F200" s="512"/>
      <c r="G200" s="512">
        <v>11000</v>
      </c>
      <c r="H200" s="512">
        <v>1.1000000000000001</v>
      </c>
      <c r="I200" s="512"/>
      <c r="J200" s="512" t="s">
        <v>182</v>
      </c>
      <c r="K200" s="512" t="b">
        <v>1</v>
      </c>
      <c r="L200" s="512">
        <v>10</v>
      </c>
      <c r="M200" s="513">
        <v>2032</v>
      </c>
      <c r="N200" s="514">
        <v>68188813</v>
      </c>
      <c r="O200" s="515">
        <v>44620</v>
      </c>
      <c r="P200" s="515">
        <v>44620</v>
      </c>
      <c r="Q200" s="516">
        <v>0</v>
      </c>
    </row>
    <row r="201" spans="1:17" ht="16.5">
      <c r="A201" s="9">
        <v>2022</v>
      </c>
      <c r="B201" s="10" t="s">
        <v>748</v>
      </c>
      <c r="C201" s="511" t="s">
        <v>749</v>
      </c>
      <c r="D201" s="512">
        <v>218000</v>
      </c>
      <c r="E201" s="512">
        <v>0</v>
      </c>
      <c r="F201" s="512"/>
      <c r="G201" s="512">
        <v>11000</v>
      </c>
      <c r="H201" s="512">
        <v>1.1000000000000001</v>
      </c>
      <c r="I201" s="512"/>
      <c r="J201" s="512" t="s">
        <v>182</v>
      </c>
      <c r="K201" s="512" t="b">
        <v>1</v>
      </c>
      <c r="L201" s="512">
        <v>7</v>
      </c>
      <c r="M201" s="513">
        <v>2029</v>
      </c>
      <c r="N201" s="514">
        <v>62767408</v>
      </c>
      <c r="O201" s="515">
        <v>44620</v>
      </c>
      <c r="P201" s="515">
        <v>44620</v>
      </c>
      <c r="Q201" s="516">
        <v>0</v>
      </c>
    </row>
    <row r="202" spans="1:17" ht="16.5">
      <c r="A202" s="9">
        <v>2022</v>
      </c>
      <c r="B202" s="10" t="s">
        <v>748</v>
      </c>
      <c r="C202" s="511" t="s">
        <v>749</v>
      </c>
      <c r="D202" s="512">
        <v>218000</v>
      </c>
      <c r="E202" s="512">
        <v>0</v>
      </c>
      <c r="F202" s="512"/>
      <c r="G202" s="512">
        <v>11000</v>
      </c>
      <c r="H202" s="512">
        <v>1.1000000000000001</v>
      </c>
      <c r="I202" s="512"/>
      <c r="J202" s="512" t="s">
        <v>182</v>
      </c>
      <c r="K202" s="512" t="b">
        <v>1</v>
      </c>
      <c r="L202" s="512">
        <v>0</v>
      </c>
      <c r="M202" s="513">
        <v>2022</v>
      </c>
      <c r="N202" s="514">
        <v>49912310</v>
      </c>
      <c r="O202" s="515">
        <v>44620</v>
      </c>
      <c r="P202" s="515">
        <v>44620</v>
      </c>
      <c r="Q202" s="516">
        <v>0</v>
      </c>
    </row>
    <row r="203" spans="1:17" ht="16.5">
      <c r="A203" s="9">
        <v>2022</v>
      </c>
      <c r="B203" s="10" t="s">
        <v>748</v>
      </c>
      <c r="C203" s="511" t="s">
        <v>749</v>
      </c>
      <c r="D203" s="512">
        <v>218000</v>
      </c>
      <c r="E203" s="512">
        <v>0</v>
      </c>
      <c r="F203" s="512"/>
      <c r="G203" s="512">
        <v>11000</v>
      </c>
      <c r="H203" s="512">
        <v>1.1000000000000001</v>
      </c>
      <c r="I203" s="512"/>
      <c r="J203" s="512" t="s">
        <v>182</v>
      </c>
      <c r="K203" s="512" t="b">
        <v>1</v>
      </c>
      <c r="L203" s="512">
        <v>3</v>
      </c>
      <c r="M203" s="513">
        <v>2025</v>
      </c>
      <c r="N203" s="514">
        <v>55069905</v>
      </c>
      <c r="O203" s="515">
        <v>44620</v>
      </c>
      <c r="P203" s="515">
        <v>44620</v>
      </c>
      <c r="Q203" s="516">
        <v>0</v>
      </c>
    </row>
    <row r="204" spans="1:17" ht="16.5">
      <c r="A204" s="9">
        <v>2022</v>
      </c>
      <c r="B204" s="10" t="s">
        <v>748</v>
      </c>
      <c r="C204" s="511" t="s">
        <v>749</v>
      </c>
      <c r="D204" s="512">
        <v>218000</v>
      </c>
      <c r="E204" s="512">
        <v>0</v>
      </c>
      <c r="F204" s="512"/>
      <c r="G204" s="512">
        <v>11000</v>
      </c>
      <c r="H204" s="512">
        <v>1.1000000000000001</v>
      </c>
      <c r="I204" s="512"/>
      <c r="J204" s="512" t="s">
        <v>182</v>
      </c>
      <c r="K204" s="512" t="b">
        <v>1</v>
      </c>
      <c r="L204" s="512">
        <v>6</v>
      </c>
      <c r="M204" s="513">
        <v>2028</v>
      </c>
      <c r="N204" s="514">
        <v>60880124</v>
      </c>
      <c r="O204" s="515">
        <v>44620</v>
      </c>
      <c r="P204" s="515">
        <v>44620</v>
      </c>
      <c r="Q204" s="516">
        <v>0</v>
      </c>
    </row>
    <row r="205" spans="1:17" ht="16.5">
      <c r="A205" s="9">
        <v>2022</v>
      </c>
      <c r="B205" s="10" t="s">
        <v>748</v>
      </c>
      <c r="C205" s="511" t="s">
        <v>749</v>
      </c>
      <c r="D205" s="512">
        <v>218000</v>
      </c>
      <c r="E205" s="512">
        <v>0</v>
      </c>
      <c r="F205" s="512"/>
      <c r="G205" s="512">
        <v>11000</v>
      </c>
      <c r="H205" s="512">
        <v>1.1000000000000001</v>
      </c>
      <c r="I205" s="512"/>
      <c r="J205" s="512" t="s">
        <v>182</v>
      </c>
      <c r="K205" s="512" t="b">
        <v>1</v>
      </c>
      <c r="L205" s="512">
        <v>9</v>
      </c>
      <c r="M205" s="513">
        <v>2031</v>
      </c>
      <c r="N205" s="514">
        <v>66396118</v>
      </c>
      <c r="O205" s="515">
        <v>44620</v>
      </c>
      <c r="P205" s="515">
        <v>44620</v>
      </c>
      <c r="Q205" s="516">
        <v>0</v>
      </c>
    </row>
    <row r="206" spans="1:17" ht="16.5">
      <c r="A206" s="9">
        <v>2022</v>
      </c>
      <c r="B206" s="10" t="s">
        <v>748</v>
      </c>
      <c r="C206" s="511" t="s">
        <v>749</v>
      </c>
      <c r="D206" s="512">
        <v>218000</v>
      </c>
      <c r="E206" s="512">
        <v>0</v>
      </c>
      <c r="F206" s="512"/>
      <c r="G206" s="512">
        <v>11000</v>
      </c>
      <c r="H206" s="512">
        <v>1.1000000000000001</v>
      </c>
      <c r="I206" s="512"/>
      <c r="J206" s="512" t="s">
        <v>182</v>
      </c>
      <c r="K206" s="512" t="b">
        <v>1</v>
      </c>
      <c r="L206" s="512">
        <v>8</v>
      </c>
      <c r="M206" s="513">
        <v>2030</v>
      </c>
      <c r="N206" s="514">
        <v>64587663</v>
      </c>
      <c r="O206" s="515">
        <v>44620</v>
      </c>
      <c r="P206" s="515">
        <v>44620</v>
      </c>
      <c r="Q206" s="516">
        <v>0</v>
      </c>
    </row>
    <row r="207" spans="1:17" ht="16.5">
      <c r="A207" s="9">
        <v>2022</v>
      </c>
      <c r="B207" s="10" t="s">
        <v>748</v>
      </c>
      <c r="C207" s="511" t="s">
        <v>749</v>
      </c>
      <c r="D207" s="512">
        <v>218000</v>
      </c>
      <c r="E207" s="512">
        <v>0</v>
      </c>
      <c r="F207" s="512"/>
      <c r="G207" s="512">
        <v>11000</v>
      </c>
      <c r="H207" s="512">
        <v>1.1000000000000001</v>
      </c>
      <c r="I207" s="512"/>
      <c r="J207" s="512" t="s">
        <v>182</v>
      </c>
      <c r="K207" s="512" t="b">
        <v>1</v>
      </c>
      <c r="L207" s="512">
        <v>5</v>
      </c>
      <c r="M207" s="513">
        <v>2027</v>
      </c>
      <c r="N207" s="514">
        <v>58935260</v>
      </c>
      <c r="O207" s="515">
        <v>44620</v>
      </c>
      <c r="P207" s="515">
        <v>44620</v>
      </c>
      <c r="Q207" s="516">
        <v>0</v>
      </c>
    </row>
    <row r="208" spans="1:17" ht="16.5">
      <c r="A208" s="9">
        <v>2022</v>
      </c>
      <c r="B208" s="10" t="s">
        <v>748</v>
      </c>
      <c r="C208" s="511" t="s">
        <v>749</v>
      </c>
      <c r="D208" s="512">
        <v>218000</v>
      </c>
      <c r="E208" s="512">
        <v>0</v>
      </c>
      <c r="F208" s="512"/>
      <c r="G208" s="512">
        <v>11000</v>
      </c>
      <c r="H208" s="512">
        <v>1.1000000000000001</v>
      </c>
      <c r="I208" s="512"/>
      <c r="J208" s="512" t="s">
        <v>182</v>
      </c>
      <c r="K208" s="512" t="b">
        <v>1</v>
      </c>
      <c r="L208" s="512">
        <v>11</v>
      </c>
      <c r="M208" s="513">
        <v>2033</v>
      </c>
      <c r="N208" s="514">
        <v>69961722</v>
      </c>
      <c r="O208" s="515">
        <v>44620</v>
      </c>
      <c r="P208" s="515">
        <v>44620</v>
      </c>
      <c r="Q208" s="516">
        <v>0</v>
      </c>
    </row>
    <row r="209" spans="1:17" ht="16.5">
      <c r="A209" s="9">
        <v>2022</v>
      </c>
      <c r="B209" s="10" t="s">
        <v>748</v>
      </c>
      <c r="C209" s="511" t="s">
        <v>749</v>
      </c>
      <c r="D209" s="512">
        <v>218000</v>
      </c>
      <c r="E209" s="512">
        <v>0</v>
      </c>
      <c r="F209" s="512"/>
      <c r="G209" s="512">
        <v>11000</v>
      </c>
      <c r="H209" s="512">
        <v>1.1000000000000001</v>
      </c>
      <c r="I209" s="512"/>
      <c r="J209" s="512" t="s">
        <v>182</v>
      </c>
      <c r="K209" s="512" t="b">
        <v>1</v>
      </c>
      <c r="L209" s="512">
        <v>4</v>
      </c>
      <c r="M209" s="513">
        <v>2026</v>
      </c>
      <c r="N209" s="514">
        <v>56997351</v>
      </c>
      <c r="O209" s="515">
        <v>44620</v>
      </c>
      <c r="P209" s="515">
        <v>44620</v>
      </c>
      <c r="Q209" s="516">
        <v>0</v>
      </c>
    </row>
    <row r="210" spans="1:17" ht="16.5">
      <c r="A210" s="9">
        <v>2022</v>
      </c>
      <c r="B210" s="10" t="s">
        <v>748</v>
      </c>
      <c r="C210" s="511" t="s">
        <v>749</v>
      </c>
      <c r="D210" s="512">
        <v>218000</v>
      </c>
      <c r="E210" s="512">
        <v>0</v>
      </c>
      <c r="F210" s="512"/>
      <c r="G210" s="512">
        <v>11000</v>
      </c>
      <c r="H210" s="512">
        <v>1.1000000000000001</v>
      </c>
      <c r="I210" s="512"/>
      <c r="J210" s="512" t="s">
        <v>182</v>
      </c>
      <c r="K210" s="512" t="b">
        <v>1</v>
      </c>
      <c r="L210" s="512">
        <v>2</v>
      </c>
      <c r="M210" s="513">
        <v>2024</v>
      </c>
      <c r="N210" s="514">
        <v>53207637</v>
      </c>
      <c r="O210" s="515">
        <v>44620</v>
      </c>
      <c r="P210" s="515">
        <v>44620</v>
      </c>
      <c r="Q210" s="516">
        <v>0</v>
      </c>
    </row>
    <row r="211" spans="1:17" ht="16.5">
      <c r="A211" s="9">
        <v>2022</v>
      </c>
      <c r="B211" s="10" t="s">
        <v>748</v>
      </c>
      <c r="C211" s="511" t="s">
        <v>749</v>
      </c>
      <c r="D211" s="512">
        <v>218000</v>
      </c>
      <c r="E211" s="512">
        <v>0</v>
      </c>
      <c r="F211" s="512"/>
      <c r="G211" s="512">
        <v>93000</v>
      </c>
      <c r="H211" s="512">
        <v>9.3000000000000007</v>
      </c>
      <c r="I211" s="512"/>
      <c r="J211" s="512" t="s">
        <v>239</v>
      </c>
      <c r="K211" s="512" t="b">
        <v>0</v>
      </c>
      <c r="L211" s="512">
        <v>5</v>
      </c>
      <c r="M211" s="513">
        <v>2027</v>
      </c>
      <c r="N211" s="514">
        <v>0</v>
      </c>
      <c r="O211" s="515">
        <v>44620</v>
      </c>
      <c r="P211" s="515">
        <v>44620</v>
      </c>
      <c r="Q211" s="516">
        <v>0</v>
      </c>
    </row>
    <row r="212" spans="1:17" ht="16.5">
      <c r="A212" s="9">
        <v>2022</v>
      </c>
      <c r="B212" s="10" t="s">
        <v>748</v>
      </c>
      <c r="C212" s="511" t="s">
        <v>749</v>
      </c>
      <c r="D212" s="512">
        <v>218000</v>
      </c>
      <c r="E212" s="512">
        <v>0</v>
      </c>
      <c r="F212" s="512"/>
      <c r="G212" s="512">
        <v>93000</v>
      </c>
      <c r="H212" s="512">
        <v>9.3000000000000007</v>
      </c>
      <c r="I212" s="512"/>
      <c r="J212" s="512" t="s">
        <v>239</v>
      </c>
      <c r="K212" s="512" t="b">
        <v>0</v>
      </c>
      <c r="L212" s="512">
        <v>1</v>
      </c>
      <c r="M212" s="513">
        <v>2023</v>
      </c>
      <c r="N212" s="514">
        <v>418220</v>
      </c>
      <c r="O212" s="515">
        <v>44620</v>
      </c>
      <c r="P212" s="515">
        <v>44620</v>
      </c>
      <c r="Q212" s="516">
        <v>0</v>
      </c>
    </row>
    <row r="213" spans="1:17" ht="16.5">
      <c r="A213" s="9">
        <v>2022</v>
      </c>
      <c r="B213" s="10" t="s">
        <v>748</v>
      </c>
      <c r="C213" s="511" t="s">
        <v>749</v>
      </c>
      <c r="D213" s="512">
        <v>218000</v>
      </c>
      <c r="E213" s="512">
        <v>0</v>
      </c>
      <c r="F213" s="512"/>
      <c r="G213" s="512">
        <v>93000</v>
      </c>
      <c r="H213" s="512">
        <v>9.3000000000000007</v>
      </c>
      <c r="I213" s="512"/>
      <c r="J213" s="512" t="s">
        <v>239</v>
      </c>
      <c r="K213" s="512" t="b">
        <v>0</v>
      </c>
      <c r="L213" s="512">
        <v>10</v>
      </c>
      <c r="M213" s="513">
        <v>2032</v>
      </c>
      <c r="N213" s="514">
        <v>0</v>
      </c>
      <c r="O213" s="515">
        <v>44620</v>
      </c>
      <c r="P213" s="515">
        <v>44620</v>
      </c>
      <c r="Q213" s="516">
        <v>0</v>
      </c>
    </row>
    <row r="214" spans="1:17" ht="16.5">
      <c r="A214" s="9">
        <v>2022</v>
      </c>
      <c r="B214" s="10" t="s">
        <v>748</v>
      </c>
      <c r="C214" s="511" t="s">
        <v>749</v>
      </c>
      <c r="D214" s="512">
        <v>218000</v>
      </c>
      <c r="E214" s="512">
        <v>0</v>
      </c>
      <c r="F214" s="512"/>
      <c r="G214" s="512">
        <v>93000</v>
      </c>
      <c r="H214" s="512">
        <v>9.3000000000000007</v>
      </c>
      <c r="I214" s="512"/>
      <c r="J214" s="512" t="s">
        <v>239</v>
      </c>
      <c r="K214" s="512" t="b">
        <v>0</v>
      </c>
      <c r="L214" s="512">
        <v>9</v>
      </c>
      <c r="M214" s="513">
        <v>2031</v>
      </c>
      <c r="N214" s="514">
        <v>0</v>
      </c>
      <c r="O214" s="515">
        <v>44620</v>
      </c>
      <c r="P214" s="515">
        <v>44620</v>
      </c>
      <c r="Q214" s="516">
        <v>0</v>
      </c>
    </row>
    <row r="215" spans="1:17" ht="16.5">
      <c r="A215" s="9">
        <v>2022</v>
      </c>
      <c r="B215" s="10" t="s">
        <v>748</v>
      </c>
      <c r="C215" s="511" t="s">
        <v>749</v>
      </c>
      <c r="D215" s="512">
        <v>218000</v>
      </c>
      <c r="E215" s="512">
        <v>0</v>
      </c>
      <c r="F215" s="512"/>
      <c r="G215" s="512">
        <v>93000</v>
      </c>
      <c r="H215" s="512">
        <v>9.3000000000000007</v>
      </c>
      <c r="I215" s="512"/>
      <c r="J215" s="512" t="s">
        <v>239</v>
      </c>
      <c r="K215" s="512" t="b">
        <v>0</v>
      </c>
      <c r="L215" s="512">
        <v>11</v>
      </c>
      <c r="M215" s="513">
        <v>2033</v>
      </c>
      <c r="N215" s="514">
        <v>0</v>
      </c>
      <c r="O215" s="515">
        <v>44620</v>
      </c>
      <c r="P215" s="515">
        <v>44620</v>
      </c>
      <c r="Q215" s="516">
        <v>0</v>
      </c>
    </row>
    <row r="216" spans="1:17" ht="16.5">
      <c r="A216" s="9">
        <v>2022</v>
      </c>
      <c r="B216" s="10" t="s">
        <v>748</v>
      </c>
      <c r="C216" s="511" t="s">
        <v>749</v>
      </c>
      <c r="D216" s="512">
        <v>218000</v>
      </c>
      <c r="E216" s="512">
        <v>0</v>
      </c>
      <c r="F216" s="512"/>
      <c r="G216" s="512">
        <v>93000</v>
      </c>
      <c r="H216" s="512">
        <v>9.3000000000000007</v>
      </c>
      <c r="I216" s="512"/>
      <c r="J216" s="512" t="s">
        <v>239</v>
      </c>
      <c r="K216" s="512" t="b">
        <v>0</v>
      </c>
      <c r="L216" s="512">
        <v>0</v>
      </c>
      <c r="M216" s="513">
        <v>2022</v>
      </c>
      <c r="N216" s="514">
        <v>2312536</v>
      </c>
      <c r="O216" s="515">
        <v>44620</v>
      </c>
      <c r="P216" s="515">
        <v>44620</v>
      </c>
      <c r="Q216" s="516">
        <v>0</v>
      </c>
    </row>
    <row r="217" spans="1:17" ht="16.5">
      <c r="A217" s="9">
        <v>2022</v>
      </c>
      <c r="B217" s="10" t="s">
        <v>748</v>
      </c>
      <c r="C217" s="511" t="s">
        <v>749</v>
      </c>
      <c r="D217" s="512">
        <v>218000</v>
      </c>
      <c r="E217" s="512">
        <v>0</v>
      </c>
      <c r="F217" s="512"/>
      <c r="G217" s="512">
        <v>93000</v>
      </c>
      <c r="H217" s="512">
        <v>9.3000000000000007</v>
      </c>
      <c r="I217" s="512"/>
      <c r="J217" s="512" t="s">
        <v>239</v>
      </c>
      <c r="K217" s="512" t="b">
        <v>0</v>
      </c>
      <c r="L217" s="512">
        <v>3</v>
      </c>
      <c r="M217" s="513">
        <v>2025</v>
      </c>
      <c r="N217" s="514">
        <v>0</v>
      </c>
      <c r="O217" s="515">
        <v>44620</v>
      </c>
      <c r="P217" s="515">
        <v>44620</v>
      </c>
      <c r="Q217" s="516">
        <v>0</v>
      </c>
    </row>
    <row r="218" spans="1:17" ht="16.5">
      <c r="A218" s="9">
        <v>2022</v>
      </c>
      <c r="B218" s="10" t="s">
        <v>748</v>
      </c>
      <c r="C218" s="511" t="s">
        <v>749</v>
      </c>
      <c r="D218" s="512">
        <v>218000</v>
      </c>
      <c r="E218" s="512">
        <v>0</v>
      </c>
      <c r="F218" s="512"/>
      <c r="G218" s="512">
        <v>93000</v>
      </c>
      <c r="H218" s="512">
        <v>9.3000000000000007</v>
      </c>
      <c r="I218" s="512"/>
      <c r="J218" s="512" t="s">
        <v>239</v>
      </c>
      <c r="K218" s="512" t="b">
        <v>0</v>
      </c>
      <c r="L218" s="512">
        <v>4</v>
      </c>
      <c r="M218" s="513">
        <v>2026</v>
      </c>
      <c r="N218" s="514">
        <v>0</v>
      </c>
      <c r="O218" s="515">
        <v>44620</v>
      </c>
      <c r="P218" s="515">
        <v>44620</v>
      </c>
      <c r="Q218" s="516">
        <v>0</v>
      </c>
    </row>
    <row r="219" spans="1:17" ht="16.5">
      <c r="A219" s="9">
        <v>2022</v>
      </c>
      <c r="B219" s="10" t="s">
        <v>748</v>
      </c>
      <c r="C219" s="511" t="s">
        <v>749</v>
      </c>
      <c r="D219" s="512">
        <v>218000</v>
      </c>
      <c r="E219" s="512">
        <v>0</v>
      </c>
      <c r="F219" s="512"/>
      <c r="G219" s="512">
        <v>93000</v>
      </c>
      <c r="H219" s="512">
        <v>9.3000000000000007</v>
      </c>
      <c r="I219" s="512"/>
      <c r="J219" s="512" t="s">
        <v>239</v>
      </c>
      <c r="K219" s="512" t="b">
        <v>0</v>
      </c>
      <c r="L219" s="512">
        <v>8</v>
      </c>
      <c r="M219" s="513">
        <v>2030</v>
      </c>
      <c r="N219" s="514">
        <v>0</v>
      </c>
      <c r="O219" s="515">
        <v>44620</v>
      </c>
      <c r="P219" s="515">
        <v>44620</v>
      </c>
      <c r="Q219" s="516">
        <v>0</v>
      </c>
    </row>
    <row r="220" spans="1:17" ht="16.5">
      <c r="A220" s="9">
        <v>2022</v>
      </c>
      <c r="B220" s="10" t="s">
        <v>748</v>
      </c>
      <c r="C220" s="511" t="s">
        <v>749</v>
      </c>
      <c r="D220" s="512">
        <v>218000</v>
      </c>
      <c r="E220" s="512">
        <v>0</v>
      </c>
      <c r="F220" s="512"/>
      <c r="G220" s="512">
        <v>93000</v>
      </c>
      <c r="H220" s="512">
        <v>9.3000000000000007</v>
      </c>
      <c r="I220" s="512"/>
      <c r="J220" s="512" t="s">
        <v>239</v>
      </c>
      <c r="K220" s="512" t="b">
        <v>0</v>
      </c>
      <c r="L220" s="512">
        <v>6</v>
      </c>
      <c r="M220" s="513">
        <v>2028</v>
      </c>
      <c r="N220" s="514">
        <v>0</v>
      </c>
      <c r="O220" s="515">
        <v>44620</v>
      </c>
      <c r="P220" s="515">
        <v>44620</v>
      </c>
      <c r="Q220" s="516">
        <v>0</v>
      </c>
    </row>
    <row r="221" spans="1:17" ht="16.5">
      <c r="A221" s="9">
        <v>2022</v>
      </c>
      <c r="B221" s="10" t="s">
        <v>748</v>
      </c>
      <c r="C221" s="511" t="s">
        <v>749</v>
      </c>
      <c r="D221" s="512">
        <v>218000</v>
      </c>
      <c r="E221" s="512">
        <v>0</v>
      </c>
      <c r="F221" s="512"/>
      <c r="G221" s="512">
        <v>93000</v>
      </c>
      <c r="H221" s="512">
        <v>9.3000000000000007</v>
      </c>
      <c r="I221" s="512"/>
      <c r="J221" s="512" t="s">
        <v>239</v>
      </c>
      <c r="K221" s="512" t="b">
        <v>0</v>
      </c>
      <c r="L221" s="512">
        <v>2</v>
      </c>
      <c r="M221" s="513">
        <v>2024</v>
      </c>
      <c r="N221" s="514">
        <v>0</v>
      </c>
      <c r="O221" s="515">
        <v>44620</v>
      </c>
      <c r="P221" s="515">
        <v>44620</v>
      </c>
      <c r="Q221" s="516">
        <v>0</v>
      </c>
    </row>
    <row r="222" spans="1:17" ht="16.5">
      <c r="A222" s="9">
        <v>2022</v>
      </c>
      <c r="B222" s="10" t="s">
        <v>748</v>
      </c>
      <c r="C222" s="511" t="s">
        <v>749</v>
      </c>
      <c r="D222" s="512">
        <v>218000</v>
      </c>
      <c r="E222" s="512">
        <v>0</v>
      </c>
      <c r="F222" s="512"/>
      <c r="G222" s="512">
        <v>93000</v>
      </c>
      <c r="H222" s="512">
        <v>9.3000000000000007</v>
      </c>
      <c r="I222" s="512"/>
      <c r="J222" s="512" t="s">
        <v>239</v>
      </c>
      <c r="K222" s="512" t="b">
        <v>0</v>
      </c>
      <c r="L222" s="512">
        <v>7</v>
      </c>
      <c r="M222" s="513">
        <v>2029</v>
      </c>
      <c r="N222" s="514">
        <v>0</v>
      </c>
      <c r="O222" s="515">
        <v>44620</v>
      </c>
      <c r="P222" s="515">
        <v>44620</v>
      </c>
      <c r="Q222" s="516">
        <v>0</v>
      </c>
    </row>
    <row r="223" spans="1:17" ht="16.5">
      <c r="A223" s="9">
        <v>2022</v>
      </c>
      <c r="B223" s="10" t="s">
        <v>748</v>
      </c>
      <c r="C223" s="511" t="s">
        <v>749</v>
      </c>
      <c r="D223" s="512">
        <v>218000</v>
      </c>
      <c r="E223" s="512">
        <v>0</v>
      </c>
      <c r="F223" s="512"/>
      <c r="G223" s="512">
        <v>21000</v>
      </c>
      <c r="H223" s="512">
        <v>2.1</v>
      </c>
      <c r="I223" s="512"/>
      <c r="J223" s="512" t="s">
        <v>192</v>
      </c>
      <c r="K223" s="512" t="b">
        <v>1</v>
      </c>
      <c r="L223" s="512">
        <v>0</v>
      </c>
      <c r="M223" s="513">
        <v>2022</v>
      </c>
      <c r="N223" s="514">
        <v>48854045</v>
      </c>
      <c r="O223" s="515">
        <v>44620</v>
      </c>
      <c r="P223" s="515">
        <v>44620</v>
      </c>
      <c r="Q223" s="516">
        <v>0</v>
      </c>
    </row>
    <row r="224" spans="1:17" ht="16.5">
      <c r="A224" s="9">
        <v>2022</v>
      </c>
      <c r="B224" s="10" t="s">
        <v>748</v>
      </c>
      <c r="C224" s="511" t="s">
        <v>749</v>
      </c>
      <c r="D224" s="512">
        <v>218000</v>
      </c>
      <c r="E224" s="512">
        <v>0</v>
      </c>
      <c r="F224" s="512"/>
      <c r="G224" s="512">
        <v>21000</v>
      </c>
      <c r="H224" s="512">
        <v>2.1</v>
      </c>
      <c r="I224" s="512"/>
      <c r="J224" s="512" t="s">
        <v>192</v>
      </c>
      <c r="K224" s="512" t="b">
        <v>1</v>
      </c>
      <c r="L224" s="512">
        <v>2</v>
      </c>
      <c r="M224" s="513">
        <v>2024</v>
      </c>
      <c r="N224" s="514">
        <v>50762353</v>
      </c>
      <c r="O224" s="515">
        <v>44620</v>
      </c>
      <c r="P224" s="515">
        <v>44620</v>
      </c>
      <c r="Q224" s="516">
        <v>0</v>
      </c>
    </row>
    <row r="225" spans="1:17" ht="16.5">
      <c r="A225" s="9">
        <v>2022</v>
      </c>
      <c r="B225" s="10" t="s">
        <v>748</v>
      </c>
      <c r="C225" s="511" t="s">
        <v>749</v>
      </c>
      <c r="D225" s="512">
        <v>218000</v>
      </c>
      <c r="E225" s="512">
        <v>0</v>
      </c>
      <c r="F225" s="512"/>
      <c r="G225" s="512">
        <v>21000</v>
      </c>
      <c r="H225" s="512">
        <v>2.1</v>
      </c>
      <c r="I225" s="512"/>
      <c r="J225" s="512" t="s">
        <v>192</v>
      </c>
      <c r="K225" s="512" t="b">
        <v>1</v>
      </c>
      <c r="L225" s="512">
        <v>5</v>
      </c>
      <c r="M225" s="513">
        <v>2027</v>
      </c>
      <c r="N225" s="514">
        <v>54436717</v>
      </c>
      <c r="O225" s="515">
        <v>44620</v>
      </c>
      <c r="P225" s="515">
        <v>44620</v>
      </c>
      <c r="Q225" s="516">
        <v>0</v>
      </c>
    </row>
    <row r="226" spans="1:17" ht="16.5">
      <c r="A226" s="9">
        <v>2022</v>
      </c>
      <c r="B226" s="10" t="s">
        <v>748</v>
      </c>
      <c r="C226" s="511" t="s">
        <v>749</v>
      </c>
      <c r="D226" s="512">
        <v>218000</v>
      </c>
      <c r="E226" s="512">
        <v>0</v>
      </c>
      <c r="F226" s="512"/>
      <c r="G226" s="512">
        <v>21000</v>
      </c>
      <c r="H226" s="512">
        <v>2.1</v>
      </c>
      <c r="I226" s="512"/>
      <c r="J226" s="512" t="s">
        <v>192</v>
      </c>
      <c r="K226" s="512" t="b">
        <v>1</v>
      </c>
      <c r="L226" s="512">
        <v>8</v>
      </c>
      <c r="M226" s="513">
        <v>2030</v>
      </c>
      <c r="N226" s="514">
        <v>58460737</v>
      </c>
      <c r="O226" s="515">
        <v>44620</v>
      </c>
      <c r="P226" s="515">
        <v>44620</v>
      </c>
      <c r="Q226" s="516">
        <v>0</v>
      </c>
    </row>
    <row r="227" spans="1:17" ht="16.5">
      <c r="A227" s="9">
        <v>2022</v>
      </c>
      <c r="B227" s="10" t="s">
        <v>748</v>
      </c>
      <c r="C227" s="511" t="s">
        <v>749</v>
      </c>
      <c r="D227" s="512">
        <v>218000</v>
      </c>
      <c r="E227" s="512">
        <v>0</v>
      </c>
      <c r="F227" s="512"/>
      <c r="G227" s="512">
        <v>21000</v>
      </c>
      <c r="H227" s="512">
        <v>2.1</v>
      </c>
      <c r="I227" s="512"/>
      <c r="J227" s="512" t="s">
        <v>192</v>
      </c>
      <c r="K227" s="512" t="b">
        <v>1</v>
      </c>
      <c r="L227" s="512">
        <v>7</v>
      </c>
      <c r="M227" s="513">
        <v>2029</v>
      </c>
      <c r="N227" s="514">
        <v>57077015</v>
      </c>
      <c r="O227" s="515">
        <v>44620</v>
      </c>
      <c r="P227" s="515">
        <v>44620</v>
      </c>
      <c r="Q227" s="516">
        <v>0</v>
      </c>
    </row>
    <row r="228" spans="1:17" ht="16.5">
      <c r="A228" s="9">
        <v>2022</v>
      </c>
      <c r="B228" s="10" t="s">
        <v>748</v>
      </c>
      <c r="C228" s="511" t="s">
        <v>749</v>
      </c>
      <c r="D228" s="512">
        <v>218000</v>
      </c>
      <c r="E228" s="512">
        <v>0</v>
      </c>
      <c r="F228" s="512"/>
      <c r="G228" s="512">
        <v>21000</v>
      </c>
      <c r="H228" s="512">
        <v>2.1</v>
      </c>
      <c r="I228" s="512"/>
      <c r="J228" s="512" t="s">
        <v>192</v>
      </c>
      <c r="K228" s="512" t="b">
        <v>1</v>
      </c>
      <c r="L228" s="512">
        <v>3</v>
      </c>
      <c r="M228" s="513">
        <v>2025</v>
      </c>
      <c r="N228" s="514">
        <v>51956372</v>
      </c>
      <c r="O228" s="515">
        <v>44620</v>
      </c>
      <c r="P228" s="515">
        <v>44620</v>
      </c>
      <c r="Q228" s="516">
        <v>0</v>
      </c>
    </row>
    <row r="229" spans="1:17" ht="16.5">
      <c r="A229" s="9">
        <v>2022</v>
      </c>
      <c r="B229" s="10" t="s">
        <v>748</v>
      </c>
      <c r="C229" s="511" t="s">
        <v>749</v>
      </c>
      <c r="D229" s="512">
        <v>218000</v>
      </c>
      <c r="E229" s="512">
        <v>0</v>
      </c>
      <c r="F229" s="512"/>
      <c r="G229" s="512">
        <v>21000</v>
      </c>
      <c r="H229" s="512">
        <v>2.1</v>
      </c>
      <c r="I229" s="512"/>
      <c r="J229" s="512" t="s">
        <v>192</v>
      </c>
      <c r="K229" s="512" t="b">
        <v>1</v>
      </c>
      <c r="L229" s="512">
        <v>10</v>
      </c>
      <c r="M229" s="513">
        <v>2032</v>
      </c>
      <c r="N229" s="514">
        <v>61326987</v>
      </c>
      <c r="O229" s="515">
        <v>44620</v>
      </c>
      <c r="P229" s="515">
        <v>44620</v>
      </c>
      <c r="Q229" s="516">
        <v>0</v>
      </c>
    </row>
    <row r="230" spans="1:17" ht="16.5">
      <c r="A230" s="9">
        <v>2022</v>
      </c>
      <c r="B230" s="10" t="s">
        <v>748</v>
      </c>
      <c r="C230" s="511" t="s">
        <v>749</v>
      </c>
      <c r="D230" s="512">
        <v>218000</v>
      </c>
      <c r="E230" s="512">
        <v>0</v>
      </c>
      <c r="F230" s="512"/>
      <c r="G230" s="512">
        <v>21000</v>
      </c>
      <c r="H230" s="512">
        <v>2.1</v>
      </c>
      <c r="I230" s="512"/>
      <c r="J230" s="512" t="s">
        <v>192</v>
      </c>
      <c r="K230" s="512" t="b">
        <v>1</v>
      </c>
      <c r="L230" s="512">
        <v>4</v>
      </c>
      <c r="M230" s="513">
        <v>2026</v>
      </c>
      <c r="N230" s="514">
        <v>53180446</v>
      </c>
      <c r="O230" s="515">
        <v>44620</v>
      </c>
      <c r="P230" s="515">
        <v>44620</v>
      </c>
      <c r="Q230" s="516">
        <v>0</v>
      </c>
    </row>
    <row r="231" spans="1:17" ht="16.5">
      <c r="A231" s="9">
        <v>2022</v>
      </c>
      <c r="B231" s="10" t="s">
        <v>748</v>
      </c>
      <c r="C231" s="511" t="s">
        <v>749</v>
      </c>
      <c r="D231" s="512">
        <v>218000</v>
      </c>
      <c r="E231" s="512">
        <v>0</v>
      </c>
      <c r="F231" s="512"/>
      <c r="G231" s="512">
        <v>21000</v>
      </c>
      <c r="H231" s="512">
        <v>2.1</v>
      </c>
      <c r="I231" s="512"/>
      <c r="J231" s="512" t="s">
        <v>192</v>
      </c>
      <c r="K231" s="512" t="b">
        <v>1</v>
      </c>
      <c r="L231" s="512">
        <v>1</v>
      </c>
      <c r="M231" s="513">
        <v>2023</v>
      </c>
      <c r="N231" s="514">
        <v>49503492</v>
      </c>
      <c r="O231" s="515">
        <v>44620</v>
      </c>
      <c r="P231" s="515">
        <v>44620</v>
      </c>
      <c r="Q231" s="516">
        <v>0</v>
      </c>
    </row>
    <row r="232" spans="1:17" ht="16.5">
      <c r="A232" s="9">
        <v>2022</v>
      </c>
      <c r="B232" s="10" t="s">
        <v>748</v>
      </c>
      <c r="C232" s="511" t="s">
        <v>749</v>
      </c>
      <c r="D232" s="512">
        <v>218000</v>
      </c>
      <c r="E232" s="512">
        <v>0</v>
      </c>
      <c r="F232" s="512"/>
      <c r="G232" s="512">
        <v>21000</v>
      </c>
      <c r="H232" s="512">
        <v>2.1</v>
      </c>
      <c r="I232" s="512"/>
      <c r="J232" s="512" t="s">
        <v>192</v>
      </c>
      <c r="K232" s="512" t="b">
        <v>1</v>
      </c>
      <c r="L232" s="512">
        <v>11</v>
      </c>
      <c r="M232" s="513">
        <v>2033</v>
      </c>
      <c r="N232" s="514">
        <v>62796615</v>
      </c>
      <c r="O232" s="515">
        <v>44620</v>
      </c>
      <c r="P232" s="515">
        <v>44620</v>
      </c>
      <c r="Q232" s="516">
        <v>0</v>
      </c>
    </row>
    <row r="233" spans="1:17" ht="16.5">
      <c r="A233" s="9">
        <v>2022</v>
      </c>
      <c r="B233" s="10" t="s">
        <v>748</v>
      </c>
      <c r="C233" s="511" t="s">
        <v>749</v>
      </c>
      <c r="D233" s="512">
        <v>218000</v>
      </c>
      <c r="E233" s="512">
        <v>0</v>
      </c>
      <c r="F233" s="512"/>
      <c r="G233" s="512">
        <v>21000</v>
      </c>
      <c r="H233" s="512">
        <v>2.1</v>
      </c>
      <c r="I233" s="512"/>
      <c r="J233" s="512" t="s">
        <v>192</v>
      </c>
      <c r="K233" s="512" t="b">
        <v>1</v>
      </c>
      <c r="L233" s="512">
        <v>9</v>
      </c>
      <c r="M233" s="513">
        <v>2031</v>
      </c>
      <c r="N233" s="514">
        <v>59881998</v>
      </c>
      <c r="O233" s="515">
        <v>44620</v>
      </c>
      <c r="P233" s="515">
        <v>44620</v>
      </c>
      <c r="Q233" s="516">
        <v>0</v>
      </c>
    </row>
    <row r="234" spans="1:17" ht="16.5">
      <c r="A234" s="9">
        <v>2022</v>
      </c>
      <c r="B234" s="10" t="s">
        <v>748</v>
      </c>
      <c r="C234" s="511" t="s">
        <v>749</v>
      </c>
      <c r="D234" s="512">
        <v>218000</v>
      </c>
      <c r="E234" s="512">
        <v>0</v>
      </c>
      <c r="F234" s="512"/>
      <c r="G234" s="512">
        <v>21000</v>
      </c>
      <c r="H234" s="512">
        <v>2.1</v>
      </c>
      <c r="I234" s="512"/>
      <c r="J234" s="512" t="s">
        <v>192</v>
      </c>
      <c r="K234" s="512" t="b">
        <v>1</v>
      </c>
      <c r="L234" s="512">
        <v>6</v>
      </c>
      <c r="M234" s="513">
        <v>2028</v>
      </c>
      <c r="N234" s="514">
        <v>55733965</v>
      </c>
      <c r="O234" s="515">
        <v>44620</v>
      </c>
      <c r="P234" s="515">
        <v>44620</v>
      </c>
      <c r="Q234" s="516">
        <v>0</v>
      </c>
    </row>
    <row r="235" spans="1:17" ht="16.5">
      <c r="A235" s="9">
        <v>2022</v>
      </c>
      <c r="B235" s="10" t="s">
        <v>748</v>
      </c>
      <c r="C235" s="511" t="s">
        <v>749</v>
      </c>
      <c r="D235" s="512">
        <v>218000</v>
      </c>
      <c r="E235" s="512">
        <v>0</v>
      </c>
      <c r="F235" s="512"/>
      <c r="G235" s="512">
        <v>107100</v>
      </c>
      <c r="H235" s="512" t="s">
        <v>293</v>
      </c>
      <c r="I235" s="512"/>
      <c r="J235" s="512" t="s">
        <v>757</v>
      </c>
      <c r="K235" s="512" t="b">
        <v>1</v>
      </c>
      <c r="L235" s="512">
        <v>5</v>
      </c>
      <c r="M235" s="513">
        <v>2027</v>
      </c>
      <c r="N235" s="514">
        <v>0</v>
      </c>
      <c r="O235" s="515">
        <v>44620</v>
      </c>
      <c r="P235" s="515">
        <v>44620</v>
      </c>
      <c r="Q235" s="516">
        <v>0</v>
      </c>
    </row>
    <row r="236" spans="1:17" ht="16.5">
      <c r="A236" s="9">
        <v>2022</v>
      </c>
      <c r="B236" s="10" t="s">
        <v>748</v>
      </c>
      <c r="C236" s="511" t="s">
        <v>749</v>
      </c>
      <c r="D236" s="512">
        <v>218000</v>
      </c>
      <c r="E236" s="512">
        <v>0</v>
      </c>
      <c r="F236" s="512"/>
      <c r="G236" s="512">
        <v>107100</v>
      </c>
      <c r="H236" s="512" t="s">
        <v>293</v>
      </c>
      <c r="I236" s="512"/>
      <c r="J236" s="512" t="s">
        <v>757</v>
      </c>
      <c r="K236" s="512" t="b">
        <v>1</v>
      </c>
      <c r="L236" s="512">
        <v>10</v>
      </c>
      <c r="M236" s="513">
        <v>2032</v>
      </c>
      <c r="N236" s="514">
        <v>0</v>
      </c>
      <c r="O236" s="515">
        <v>44620</v>
      </c>
      <c r="P236" s="515">
        <v>44620</v>
      </c>
      <c r="Q236" s="516">
        <v>0</v>
      </c>
    </row>
    <row r="237" spans="1:17" ht="16.5">
      <c r="A237" s="9">
        <v>2022</v>
      </c>
      <c r="B237" s="10" t="s">
        <v>748</v>
      </c>
      <c r="C237" s="511" t="s">
        <v>749</v>
      </c>
      <c r="D237" s="512">
        <v>218000</v>
      </c>
      <c r="E237" s="512">
        <v>0</v>
      </c>
      <c r="F237" s="512"/>
      <c r="G237" s="512">
        <v>107100</v>
      </c>
      <c r="H237" s="512" t="s">
        <v>293</v>
      </c>
      <c r="I237" s="512"/>
      <c r="J237" s="512" t="s">
        <v>757</v>
      </c>
      <c r="K237" s="512" t="b">
        <v>1</v>
      </c>
      <c r="L237" s="512">
        <v>11</v>
      </c>
      <c r="M237" s="513">
        <v>2033</v>
      </c>
      <c r="N237" s="514">
        <v>0</v>
      </c>
      <c r="O237" s="515">
        <v>44620</v>
      </c>
      <c r="P237" s="515">
        <v>44620</v>
      </c>
      <c r="Q237" s="516">
        <v>0</v>
      </c>
    </row>
    <row r="238" spans="1:17" ht="16.5">
      <c r="A238" s="9">
        <v>2022</v>
      </c>
      <c r="B238" s="10" t="s">
        <v>748</v>
      </c>
      <c r="C238" s="511" t="s">
        <v>749</v>
      </c>
      <c r="D238" s="512">
        <v>218000</v>
      </c>
      <c r="E238" s="512">
        <v>0</v>
      </c>
      <c r="F238" s="512"/>
      <c r="G238" s="512">
        <v>107100</v>
      </c>
      <c r="H238" s="512" t="s">
        <v>293</v>
      </c>
      <c r="I238" s="512"/>
      <c r="J238" s="512" t="s">
        <v>757</v>
      </c>
      <c r="K238" s="512" t="b">
        <v>1</v>
      </c>
      <c r="L238" s="512">
        <v>4</v>
      </c>
      <c r="M238" s="513">
        <v>2026</v>
      </c>
      <c r="N238" s="514">
        <v>0</v>
      </c>
      <c r="O238" s="515">
        <v>44620</v>
      </c>
      <c r="P238" s="515">
        <v>44620</v>
      </c>
      <c r="Q238" s="516">
        <v>0</v>
      </c>
    </row>
    <row r="239" spans="1:17" ht="16.5">
      <c r="A239" s="9">
        <v>2022</v>
      </c>
      <c r="B239" s="10" t="s">
        <v>748</v>
      </c>
      <c r="C239" s="511" t="s">
        <v>749</v>
      </c>
      <c r="D239" s="512">
        <v>218000</v>
      </c>
      <c r="E239" s="512">
        <v>0</v>
      </c>
      <c r="F239" s="512"/>
      <c r="G239" s="512">
        <v>107100</v>
      </c>
      <c r="H239" s="512" t="s">
        <v>293</v>
      </c>
      <c r="I239" s="512"/>
      <c r="J239" s="512" t="s">
        <v>757</v>
      </c>
      <c r="K239" s="512" t="b">
        <v>1</v>
      </c>
      <c r="L239" s="512">
        <v>6</v>
      </c>
      <c r="M239" s="513">
        <v>2028</v>
      </c>
      <c r="N239" s="514">
        <v>0</v>
      </c>
      <c r="O239" s="515">
        <v>44620</v>
      </c>
      <c r="P239" s="515">
        <v>44620</v>
      </c>
      <c r="Q239" s="516">
        <v>0</v>
      </c>
    </row>
    <row r="240" spans="1:17" ht="16.5">
      <c r="A240" s="9">
        <v>2022</v>
      </c>
      <c r="B240" s="10" t="s">
        <v>748</v>
      </c>
      <c r="C240" s="511" t="s">
        <v>749</v>
      </c>
      <c r="D240" s="512">
        <v>218000</v>
      </c>
      <c r="E240" s="512">
        <v>0</v>
      </c>
      <c r="F240" s="512"/>
      <c r="G240" s="512">
        <v>107100</v>
      </c>
      <c r="H240" s="512" t="s">
        <v>293</v>
      </c>
      <c r="I240" s="512"/>
      <c r="J240" s="512" t="s">
        <v>757</v>
      </c>
      <c r="K240" s="512" t="b">
        <v>1</v>
      </c>
      <c r="L240" s="512">
        <v>9</v>
      </c>
      <c r="M240" s="513">
        <v>2031</v>
      </c>
      <c r="N240" s="514">
        <v>0</v>
      </c>
      <c r="O240" s="515">
        <v>44620</v>
      </c>
      <c r="P240" s="515">
        <v>44620</v>
      </c>
      <c r="Q240" s="516">
        <v>0</v>
      </c>
    </row>
    <row r="241" spans="1:17" ht="16.5">
      <c r="A241" s="9">
        <v>2022</v>
      </c>
      <c r="B241" s="10" t="s">
        <v>748</v>
      </c>
      <c r="C241" s="511" t="s">
        <v>749</v>
      </c>
      <c r="D241" s="512">
        <v>218000</v>
      </c>
      <c r="E241" s="512">
        <v>0</v>
      </c>
      <c r="F241" s="512"/>
      <c r="G241" s="512">
        <v>107100</v>
      </c>
      <c r="H241" s="512" t="s">
        <v>293</v>
      </c>
      <c r="I241" s="512"/>
      <c r="J241" s="512" t="s">
        <v>757</v>
      </c>
      <c r="K241" s="512" t="b">
        <v>1</v>
      </c>
      <c r="L241" s="512">
        <v>1</v>
      </c>
      <c r="M241" s="513">
        <v>2023</v>
      </c>
      <c r="N241" s="514">
        <v>0</v>
      </c>
      <c r="O241" s="515">
        <v>44620</v>
      </c>
      <c r="P241" s="515">
        <v>44620</v>
      </c>
      <c r="Q241" s="516">
        <v>0</v>
      </c>
    </row>
    <row r="242" spans="1:17" ht="16.5">
      <c r="A242" s="9">
        <v>2022</v>
      </c>
      <c r="B242" s="10" t="s">
        <v>748</v>
      </c>
      <c r="C242" s="511" t="s">
        <v>749</v>
      </c>
      <c r="D242" s="512">
        <v>218000</v>
      </c>
      <c r="E242" s="512">
        <v>0</v>
      </c>
      <c r="F242" s="512"/>
      <c r="G242" s="512">
        <v>107100</v>
      </c>
      <c r="H242" s="512" t="s">
        <v>293</v>
      </c>
      <c r="I242" s="512"/>
      <c r="J242" s="512" t="s">
        <v>757</v>
      </c>
      <c r="K242" s="512" t="b">
        <v>1</v>
      </c>
      <c r="L242" s="512">
        <v>3</v>
      </c>
      <c r="M242" s="513">
        <v>2025</v>
      </c>
      <c r="N242" s="514">
        <v>0</v>
      </c>
      <c r="O242" s="515">
        <v>44620</v>
      </c>
      <c r="P242" s="515">
        <v>44620</v>
      </c>
      <c r="Q242" s="516">
        <v>0</v>
      </c>
    </row>
    <row r="243" spans="1:17" ht="16.5">
      <c r="A243" s="9">
        <v>2022</v>
      </c>
      <c r="B243" s="10" t="s">
        <v>748</v>
      </c>
      <c r="C243" s="511" t="s">
        <v>749</v>
      </c>
      <c r="D243" s="512">
        <v>218000</v>
      </c>
      <c r="E243" s="512">
        <v>0</v>
      </c>
      <c r="F243" s="512"/>
      <c r="G243" s="512">
        <v>107100</v>
      </c>
      <c r="H243" s="512" t="s">
        <v>293</v>
      </c>
      <c r="I243" s="512"/>
      <c r="J243" s="512" t="s">
        <v>757</v>
      </c>
      <c r="K243" s="512" t="b">
        <v>1</v>
      </c>
      <c r="L243" s="512">
        <v>8</v>
      </c>
      <c r="M243" s="513">
        <v>2030</v>
      </c>
      <c r="N243" s="514">
        <v>0</v>
      </c>
      <c r="O243" s="515">
        <v>44620</v>
      </c>
      <c r="P243" s="515">
        <v>44620</v>
      </c>
      <c r="Q243" s="516">
        <v>0</v>
      </c>
    </row>
    <row r="244" spans="1:17" ht="16.5">
      <c r="A244" s="9">
        <v>2022</v>
      </c>
      <c r="B244" s="10" t="s">
        <v>748</v>
      </c>
      <c r="C244" s="511" t="s">
        <v>749</v>
      </c>
      <c r="D244" s="512">
        <v>218000</v>
      </c>
      <c r="E244" s="512">
        <v>0</v>
      </c>
      <c r="F244" s="512"/>
      <c r="G244" s="512">
        <v>107100</v>
      </c>
      <c r="H244" s="512" t="s">
        <v>293</v>
      </c>
      <c r="I244" s="512"/>
      <c r="J244" s="512" t="s">
        <v>757</v>
      </c>
      <c r="K244" s="512" t="b">
        <v>1</v>
      </c>
      <c r="L244" s="512">
        <v>7</v>
      </c>
      <c r="M244" s="513">
        <v>2029</v>
      </c>
      <c r="N244" s="514">
        <v>0</v>
      </c>
      <c r="O244" s="515">
        <v>44620</v>
      </c>
      <c r="P244" s="515">
        <v>44620</v>
      </c>
      <c r="Q244" s="516">
        <v>0</v>
      </c>
    </row>
    <row r="245" spans="1:17" ht="16.5">
      <c r="A245" s="9">
        <v>2022</v>
      </c>
      <c r="B245" s="10" t="s">
        <v>748</v>
      </c>
      <c r="C245" s="511" t="s">
        <v>749</v>
      </c>
      <c r="D245" s="512">
        <v>218000</v>
      </c>
      <c r="E245" s="512">
        <v>0</v>
      </c>
      <c r="F245" s="512"/>
      <c r="G245" s="512">
        <v>107100</v>
      </c>
      <c r="H245" s="512" t="s">
        <v>293</v>
      </c>
      <c r="I245" s="512"/>
      <c r="J245" s="512" t="s">
        <v>757</v>
      </c>
      <c r="K245" s="512" t="b">
        <v>1</v>
      </c>
      <c r="L245" s="512">
        <v>2</v>
      </c>
      <c r="M245" s="513">
        <v>2024</v>
      </c>
      <c r="N245" s="514">
        <v>0</v>
      </c>
      <c r="O245" s="515">
        <v>44620</v>
      </c>
      <c r="P245" s="515">
        <v>44620</v>
      </c>
      <c r="Q245" s="516">
        <v>0</v>
      </c>
    </row>
    <row r="246" spans="1:17" ht="16.5">
      <c r="A246" s="9">
        <v>2022</v>
      </c>
      <c r="B246" s="10" t="s">
        <v>748</v>
      </c>
      <c r="C246" s="511" t="s">
        <v>749</v>
      </c>
      <c r="D246" s="512">
        <v>218000</v>
      </c>
      <c r="E246" s="512">
        <v>0</v>
      </c>
      <c r="F246" s="512"/>
      <c r="G246" s="512">
        <v>107100</v>
      </c>
      <c r="H246" s="512" t="s">
        <v>293</v>
      </c>
      <c r="I246" s="512"/>
      <c r="J246" s="512" t="s">
        <v>757</v>
      </c>
      <c r="K246" s="512" t="b">
        <v>1</v>
      </c>
      <c r="L246" s="512">
        <v>0</v>
      </c>
      <c r="M246" s="513">
        <v>2022</v>
      </c>
      <c r="N246" s="514">
        <v>0</v>
      </c>
      <c r="O246" s="515">
        <v>44620</v>
      </c>
      <c r="P246" s="515">
        <v>44620</v>
      </c>
      <c r="Q246" s="516">
        <v>0</v>
      </c>
    </row>
    <row r="247" spans="1:17" ht="16.5">
      <c r="A247" s="9">
        <v>2022</v>
      </c>
      <c r="B247" s="10" t="s">
        <v>748</v>
      </c>
      <c r="C247" s="511" t="s">
        <v>749</v>
      </c>
      <c r="D247" s="512">
        <v>218000</v>
      </c>
      <c r="E247" s="512">
        <v>0</v>
      </c>
      <c r="F247" s="512"/>
      <c r="G247" s="512">
        <v>30000</v>
      </c>
      <c r="H247" s="512">
        <v>3</v>
      </c>
      <c r="I247" s="512" t="s">
        <v>758</v>
      </c>
      <c r="J247" s="512" t="s">
        <v>20</v>
      </c>
      <c r="K247" s="512" t="b">
        <v>0</v>
      </c>
      <c r="L247" s="512">
        <v>3</v>
      </c>
      <c r="M247" s="513">
        <v>2025</v>
      </c>
      <c r="N247" s="514">
        <v>2000000</v>
      </c>
      <c r="O247" s="515">
        <v>44620</v>
      </c>
      <c r="P247" s="515">
        <v>44620</v>
      </c>
      <c r="Q247" s="516">
        <v>0</v>
      </c>
    </row>
    <row r="248" spans="1:17" ht="16.5">
      <c r="A248" s="9">
        <v>2022</v>
      </c>
      <c r="B248" s="10" t="s">
        <v>748</v>
      </c>
      <c r="C248" s="511" t="s">
        <v>749</v>
      </c>
      <c r="D248" s="512">
        <v>218000</v>
      </c>
      <c r="E248" s="512">
        <v>0</v>
      </c>
      <c r="F248" s="512"/>
      <c r="G248" s="512">
        <v>30000</v>
      </c>
      <c r="H248" s="512">
        <v>3</v>
      </c>
      <c r="I248" s="512" t="s">
        <v>758</v>
      </c>
      <c r="J248" s="512" t="s">
        <v>20</v>
      </c>
      <c r="K248" s="512" t="b">
        <v>0</v>
      </c>
      <c r="L248" s="512">
        <v>6</v>
      </c>
      <c r="M248" s="513">
        <v>2028</v>
      </c>
      <c r="N248" s="514">
        <v>1500000</v>
      </c>
      <c r="O248" s="515">
        <v>44620</v>
      </c>
      <c r="P248" s="515">
        <v>44620</v>
      </c>
      <c r="Q248" s="516">
        <v>0</v>
      </c>
    </row>
    <row r="249" spans="1:17" ht="16.5">
      <c r="A249" s="9">
        <v>2022</v>
      </c>
      <c r="B249" s="10" t="s">
        <v>748</v>
      </c>
      <c r="C249" s="511" t="s">
        <v>749</v>
      </c>
      <c r="D249" s="512">
        <v>218000</v>
      </c>
      <c r="E249" s="512">
        <v>0</v>
      </c>
      <c r="F249" s="512"/>
      <c r="G249" s="512">
        <v>30000</v>
      </c>
      <c r="H249" s="512">
        <v>3</v>
      </c>
      <c r="I249" s="512" t="s">
        <v>758</v>
      </c>
      <c r="J249" s="512" t="s">
        <v>20</v>
      </c>
      <c r="K249" s="512" t="b">
        <v>0</v>
      </c>
      <c r="L249" s="512">
        <v>11</v>
      </c>
      <c r="M249" s="513">
        <v>2033</v>
      </c>
      <c r="N249" s="514">
        <v>1750000</v>
      </c>
      <c r="O249" s="515">
        <v>44620</v>
      </c>
      <c r="P249" s="515">
        <v>44620</v>
      </c>
      <c r="Q249" s="516">
        <v>0</v>
      </c>
    </row>
    <row r="250" spans="1:17" ht="16.5">
      <c r="A250" s="9">
        <v>2022</v>
      </c>
      <c r="B250" s="10" t="s">
        <v>748</v>
      </c>
      <c r="C250" s="511" t="s">
        <v>749</v>
      </c>
      <c r="D250" s="512">
        <v>218000</v>
      </c>
      <c r="E250" s="512">
        <v>0</v>
      </c>
      <c r="F250" s="512"/>
      <c r="G250" s="512">
        <v>30000</v>
      </c>
      <c r="H250" s="512">
        <v>3</v>
      </c>
      <c r="I250" s="512" t="s">
        <v>758</v>
      </c>
      <c r="J250" s="512" t="s">
        <v>20</v>
      </c>
      <c r="K250" s="512" t="b">
        <v>0</v>
      </c>
      <c r="L250" s="512">
        <v>8</v>
      </c>
      <c r="M250" s="513">
        <v>2030</v>
      </c>
      <c r="N250" s="514">
        <v>1500000</v>
      </c>
      <c r="O250" s="515">
        <v>44620</v>
      </c>
      <c r="P250" s="515">
        <v>44620</v>
      </c>
      <c r="Q250" s="516">
        <v>0</v>
      </c>
    </row>
    <row r="251" spans="1:17" ht="16.5">
      <c r="A251" s="9">
        <v>2022</v>
      </c>
      <c r="B251" s="10" t="s">
        <v>748</v>
      </c>
      <c r="C251" s="511" t="s">
        <v>749</v>
      </c>
      <c r="D251" s="512">
        <v>218000</v>
      </c>
      <c r="E251" s="512">
        <v>0</v>
      </c>
      <c r="F251" s="512"/>
      <c r="G251" s="512">
        <v>30000</v>
      </c>
      <c r="H251" s="512">
        <v>3</v>
      </c>
      <c r="I251" s="512" t="s">
        <v>758</v>
      </c>
      <c r="J251" s="512" t="s">
        <v>20</v>
      </c>
      <c r="K251" s="512" t="b">
        <v>0</v>
      </c>
      <c r="L251" s="512">
        <v>9</v>
      </c>
      <c r="M251" s="513">
        <v>2031</v>
      </c>
      <c r="N251" s="514">
        <v>1500000</v>
      </c>
      <c r="O251" s="515">
        <v>44620</v>
      </c>
      <c r="P251" s="515">
        <v>44620</v>
      </c>
      <c r="Q251" s="516">
        <v>0</v>
      </c>
    </row>
    <row r="252" spans="1:17" ht="16.5">
      <c r="A252" s="9">
        <v>2022</v>
      </c>
      <c r="B252" s="10" t="s">
        <v>748</v>
      </c>
      <c r="C252" s="511" t="s">
        <v>749</v>
      </c>
      <c r="D252" s="512">
        <v>218000</v>
      </c>
      <c r="E252" s="512">
        <v>0</v>
      </c>
      <c r="F252" s="512"/>
      <c r="G252" s="512">
        <v>30000</v>
      </c>
      <c r="H252" s="512">
        <v>3</v>
      </c>
      <c r="I252" s="512" t="s">
        <v>758</v>
      </c>
      <c r="J252" s="512" t="s">
        <v>20</v>
      </c>
      <c r="K252" s="512" t="b">
        <v>0</v>
      </c>
      <c r="L252" s="512">
        <v>5</v>
      </c>
      <c r="M252" s="513">
        <v>2027</v>
      </c>
      <c r="N252" s="514">
        <v>2000000</v>
      </c>
      <c r="O252" s="515">
        <v>44620</v>
      </c>
      <c r="P252" s="515">
        <v>44620</v>
      </c>
      <c r="Q252" s="516">
        <v>0</v>
      </c>
    </row>
    <row r="253" spans="1:17" ht="16.5">
      <c r="A253" s="9">
        <v>2022</v>
      </c>
      <c r="B253" s="10" t="s">
        <v>748</v>
      </c>
      <c r="C253" s="511" t="s">
        <v>749</v>
      </c>
      <c r="D253" s="512">
        <v>218000</v>
      </c>
      <c r="E253" s="512">
        <v>0</v>
      </c>
      <c r="F253" s="512"/>
      <c r="G253" s="512">
        <v>30000</v>
      </c>
      <c r="H253" s="512">
        <v>3</v>
      </c>
      <c r="I253" s="512" t="s">
        <v>758</v>
      </c>
      <c r="J253" s="512" t="s">
        <v>20</v>
      </c>
      <c r="K253" s="512" t="b">
        <v>0</v>
      </c>
      <c r="L253" s="512">
        <v>2</v>
      </c>
      <c r="M253" s="513">
        <v>2024</v>
      </c>
      <c r="N253" s="514">
        <v>1915000</v>
      </c>
      <c r="O253" s="515">
        <v>44620</v>
      </c>
      <c r="P253" s="515">
        <v>44620</v>
      </c>
      <c r="Q253" s="516">
        <v>0</v>
      </c>
    </row>
    <row r="254" spans="1:17" ht="16.5">
      <c r="A254" s="9">
        <v>2022</v>
      </c>
      <c r="B254" s="10" t="s">
        <v>748</v>
      </c>
      <c r="C254" s="511" t="s">
        <v>749</v>
      </c>
      <c r="D254" s="512">
        <v>218000</v>
      </c>
      <c r="E254" s="512">
        <v>0</v>
      </c>
      <c r="F254" s="512"/>
      <c r="G254" s="512">
        <v>30000</v>
      </c>
      <c r="H254" s="512">
        <v>3</v>
      </c>
      <c r="I254" s="512" t="s">
        <v>758</v>
      </c>
      <c r="J254" s="512" t="s">
        <v>20</v>
      </c>
      <c r="K254" s="512" t="b">
        <v>0</v>
      </c>
      <c r="L254" s="512">
        <v>10</v>
      </c>
      <c r="M254" s="513">
        <v>2032</v>
      </c>
      <c r="N254" s="514">
        <v>1750000</v>
      </c>
      <c r="O254" s="515">
        <v>44620</v>
      </c>
      <c r="P254" s="515">
        <v>44620</v>
      </c>
      <c r="Q254" s="516">
        <v>0</v>
      </c>
    </row>
    <row r="255" spans="1:17" ht="16.5">
      <c r="A255" s="9">
        <v>2022</v>
      </c>
      <c r="B255" s="10" t="s">
        <v>748</v>
      </c>
      <c r="C255" s="511" t="s">
        <v>749</v>
      </c>
      <c r="D255" s="512">
        <v>218000</v>
      </c>
      <c r="E255" s="512">
        <v>0</v>
      </c>
      <c r="F255" s="512"/>
      <c r="G255" s="512">
        <v>30000</v>
      </c>
      <c r="H255" s="512">
        <v>3</v>
      </c>
      <c r="I255" s="512" t="s">
        <v>758</v>
      </c>
      <c r="J255" s="512" t="s">
        <v>20</v>
      </c>
      <c r="K255" s="512" t="b">
        <v>0</v>
      </c>
      <c r="L255" s="512">
        <v>1</v>
      </c>
      <c r="M255" s="513">
        <v>2023</v>
      </c>
      <c r="N255" s="514">
        <v>1000000</v>
      </c>
      <c r="O255" s="515">
        <v>44620</v>
      </c>
      <c r="P255" s="515">
        <v>44620</v>
      </c>
      <c r="Q255" s="516">
        <v>0</v>
      </c>
    </row>
    <row r="256" spans="1:17" ht="16.5">
      <c r="A256" s="9">
        <v>2022</v>
      </c>
      <c r="B256" s="10" t="s">
        <v>748</v>
      </c>
      <c r="C256" s="511" t="s">
        <v>749</v>
      </c>
      <c r="D256" s="512">
        <v>218000</v>
      </c>
      <c r="E256" s="512">
        <v>0</v>
      </c>
      <c r="F256" s="512"/>
      <c r="G256" s="512">
        <v>30000</v>
      </c>
      <c r="H256" s="512">
        <v>3</v>
      </c>
      <c r="I256" s="512" t="s">
        <v>758</v>
      </c>
      <c r="J256" s="512" t="s">
        <v>20</v>
      </c>
      <c r="K256" s="512" t="b">
        <v>0</v>
      </c>
      <c r="L256" s="512">
        <v>0</v>
      </c>
      <c r="M256" s="513">
        <v>2022</v>
      </c>
      <c r="N256" s="514">
        <v>-14662538</v>
      </c>
      <c r="O256" s="515">
        <v>44620</v>
      </c>
      <c r="P256" s="515">
        <v>44620</v>
      </c>
      <c r="Q256" s="516">
        <v>0</v>
      </c>
    </row>
    <row r="257" spans="1:17" ht="16.5">
      <c r="A257" s="9">
        <v>2022</v>
      </c>
      <c r="B257" s="10" t="s">
        <v>748</v>
      </c>
      <c r="C257" s="511" t="s">
        <v>749</v>
      </c>
      <c r="D257" s="512">
        <v>218000</v>
      </c>
      <c r="E257" s="512">
        <v>0</v>
      </c>
      <c r="F257" s="512"/>
      <c r="G257" s="512">
        <v>30000</v>
      </c>
      <c r="H257" s="512">
        <v>3</v>
      </c>
      <c r="I257" s="512" t="s">
        <v>758</v>
      </c>
      <c r="J257" s="512" t="s">
        <v>20</v>
      </c>
      <c r="K257" s="512" t="b">
        <v>0</v>
      </c>
      <c r="L257" s="512">
        <v>4</v>
      </c>
      <c r="M257" s="513">
        <v>2026</v>
      </c>
      <c r="N257" s="514">
        <v>2000000</v>
      </c>
      <c r="O257" s="515">
        <v>44620</v>
      </c>
      <c r="P257" s="515">
        <v>44620</v>
      </c>
      <c r="Q257" s="516">
        <v>0</v>
      </c>
    </row>
    <row r="258" spans="1:17" ht="16.5">
      <c r="A258" s="9">
        <v>2022</v>
      </c>
      <c r="B258" s="10" t="s">
        <v>748</v>
      </c>
      <c r="C258" s="511" t="s">
        <v>749</v>
      </c>
      <c r="D258" s="512">
        <v>218000</v>
      </c>
      <c r="E258" s="512">
        <v>0</v>
      </c>
      <c r="F258" s="512"/>
      <c r="G258" s="512">
        <v>30000</v>
      </c>
      <c r="H258" s="512">
        <v>3</v>
      </c>
      <c r="I258" s="512" t="s">
        <v>758</v>
      </c>
      <c r="J258" s="512" t="s">
        <v>20</v>
      </c>
      <c r="K258" s="512" t="b">
        <v>0</v>
      </c>
      <c r="L258" s="512">
        <v>7</v>
      </c>
      <c r="M258" s="513">
        <v>2029</v>
      </c>
      <c r="N258" s="514">
        <v>1500000</v>
      </c>
      <c r="O258" s="515">
        <v>44620</v>
      </c>
      <c r="P258" s="515">
        <v>44620</v>
      </c>
      <c r="Q258" s="516">
        <v>0</v>
      </c>
    </row>
    <row r="259" spans="1:17" ht="16.5">
      <c r="A259" s="9">
        <v>2022</v>
      </c>
      <c r="B259" s="10" t="s">
        <v>748</v>
      </c>
      <c r="C259" s="511" t="s">
        <v>749</v>
      </c>
      <c r="D259" s="512">
        <v>218000</v>
      </c>
      <c r="E259" s="512">
        <v>0</v>
      </c>
      <c r="F259" s="512"/>
      <c r="G259" s="512">
        <v>51111</v>
      </c>
      <c r="H259" s="512" t="s">
        <v>49</v>
      </c>
      <c r="I259" s="512"/>
      <c r="J259" s="512" t="s">
        <v>212</v>
      </c>
      <c r="K259" s="512" t="b">
        <v>1</v>
      </c>
      <c r="L259" s="512">
        <v>7</v>
      </c>
      <c r="M259" s="513">
        <v>2029</v>
      </c>
      <c r="N259" s="514">
        <v>0</v>
      </c>
      <c r="O259" s="515">
        <v>44620</v>
      </c>
      <c r="P259" s="515">
        <v>44620</v>
      </c>
      <c r="Q259" s="516">
        <v>0</v>
      </c>
    </row>
    <row r="260" spans="1:17" ht="16.5">
      <c r="A260" s="9">
        <v>2022</v>
      </c>
      <c r="B260" s="10" t="s">
        <v>748</v>
      </c>
      <c r="C260" s="511" t="s">
        <v>749</v>
      </c>
      <c r="D260" s="512">
        <v>218000</v>
      </c>
      <c r="E260" s="512">
        <v>0</v>
      </c>
      <c r="F260" s="512"/>
      <c r="G260" s="512">
        <v>51111</v>
      </c>
      <c r="H260" s="512" t="s">
        <v>49</v>
      </c>
      <c r="I260" s="512"/>
      <c r="J260" s="512" t="s">
        <v>212</v>
      </c>
      <c r="K260" s="512" t="b">
        <v>1</v>
      </c>
      <c r="L260" s="512">
        <v>3</v>
      </c>
      <c r="M260" s="513">
        <v>2025</v>
      </c>
      <c r="N260" s="514">
        <v>0</v>
      </c>
      <c r="O260" s="515">
        <v>44620</v>
      </c>
      <c r="P260" s="515">
        <v>44620</v>
      </c>
      <c r="Q260" s="516">
        <v>0</v>
      </c>
    </row>
    <row r="261" spans="1:17" ht="16.5">
      <c r="A261" s="9">
        <v>2022</v>
      </c>
      <c r="B261" s="10" t="s">
        <v>748</v>
      </c>
      <c r="C261" s="511" t="s">
        <v>749</v>
      </c>
      <c r="D261" s="512">
        <v>218000</v>
      </c>
      <c r="E261" s="512">
        <v>0</v>
      </c>
      <c r="F261" s="512"/>
      <c r="G261" s="512">
        <v>51111</v>
      </c>
      <c r="H261" s="512" t="s">
        <v>49</v>
      </c>
      <c r="I261" s="512"/>
      <c r="J261" s="512" t="s">
        <v>212</v>
      </c>
      <c r="K261" s="512" t="b">
        <v>1</v>
      </c>
      <c r="L261" s="512">
        <v>10</v>
      </c>
      <c r="M261" s="513">
        <v>2032</v>
      </c>
      <c r="N261" s="514">
        <v>0</v>
      </c>
      <c r="O261" s="515">
        <v>44620</v>
      </c>
      <c r="P261" s="515">
        <v>44620</v>
      </c>
      <c r="Q261" s="516">
        <v>0</v>
      </c>
    </row>
    <row r="262" spans="1:17" ht="16.5">
      <c r="A262" s="9">
        <v>2022</v>
      </c>
      <c r="B262" s="10" t="s">
        <v>748</v>
      </c>
      <c r="C262" s="511" t="s">
        <v>749</v>
      </c>
      <c r="D262" s="512">
        <v>218000</v>
      </c>
      <c r="E262" s="512">
        <v>0</v>
      </c>
      <c r="F262" s="512"/>
      <c r="G262" s="512">
        <v>51111</v>
      </c>
      <c r="H262" s="512" t="s">
        <v>49</v>
      </c>
      <c r="I262" s="512"/>
      <c r="J262" s="512" t="s">
        <v>212</v>
      </c>
      <c r="K262" s="512" t="b">
        <v>1</v>
      </c>
      <c r="L262" s="512">
        <v>9</v>
      </c>
      <c r="M262" s="513">
        <v>2031</v>
      </c>
      <c r="N262" s="514">
        <v>0</v>
      </c>
      <c r="O262" s="515">
        <v>44620</v>
      </c>
      <c r="P262" s="515">
        <v>44620</v>
      </c>
      <c r="Q262" s="516">
        <v>0</v>
      </c>
    </row>
    <row r="263" spans="1:17" ht="16.5">
      <c r="A263" s="9">
        <v>2022</v>
      </c>
      <c r="B263" s="10" t="s">
        <v>748</v>
      </c>
      <c r="C263" s="511" t="s">
        <v>749</v>
      </c>
      <c r="D263" s="512">
        <v>218000</v>
      </c>
      <c r="E263" s="512">
        <v>0</v>
      </c>
      <c r="F263" s="512"/>
      <c r="G263" s="512">
        <v>51111</v>
      </c>
      <c r="H263" s="512" t="s">
        <v>49</v>
      </c>
      <c r="I263" s="512"/>
      <c r="J263" s="512" t="s">
        <v>212</v>
      </c>
      <c r="K263" s="512" t="b">
        <v>1</v>
      </c>
      <c r="L263" s="512">
        <v>4</v>
      </c>
      <c r="M263" s="513">
        <v>2026</v>
      </c>
      <c r="N263" s="514">
        <v>0</v>
      </c>
      <c r="O263" s="515">
        <v>44620</v>
      </c>
      <c r="P263" s="515">
        <v>44620</v>
      </c>
      <c r="Q263" s="516">
        <v>0</v>
      </c>
    </row>
    <row r="264" spans="1:17" ht="16.5">
      <c r="A264" s="9">
        <v>2022</v>
      </c>
      <c r="B264" s="10" t="s">
        <v>748</v>
      </c>
      <c r="C264" s="511" t="s">
        <v>749</v>
      </c>
      <c r="D264" s="512">
        <v>218000</v>
      </c>
      <c r="E264" s="512">
        <v>0</v>
      </c>
      <c r="F264" s="512"/>
      <c r="G264" s="512">
        <v>51111</v>
      </c>
      <c r="H264" s="512" t="s">
        <v>49</v>
      </c>
      <c r="I264" s="512"/>
      <c r="J264" s="512" t="s">
        <v>212</v>
      </c>
      <c r="K264" s="512" t="b">
        <v>1</v>
      </c>
      <c r="L264" s="512">
        <v>11</v>
      </c>
      <c r="M264" s="513">
        <v>2033</v>
      </c>
      <c r="N264" s="514">
        <v>0</v>
      </c>
      <c r="O264" s="515">
        <v>44620</v>
      </c>
      <c r="P264" s="515">
        <v>44620</v>
      </c>
      <c r="Q264" s="516">
        <v>0</v>
      </c>
    </row>
    <row r="265" spans="1:17" ht="16.5">
      <c r="A265" s="9">
        <v>2022</v>
      </c>
      <c r="B265" s="10" t="s">
        <v>748</v>
      </c>
      <c r="C265" s="511" t="s">
        <v>749</v>
      </c>
      <c r="D265" s="512">
        <v>218000</v>
      </c>
      <c r="E265" s="512">
        <v>0</v>
      </c>
      <c r="F265" s="512"/>
      <c r="G265" s="512">
        <v>51111</v>
      </c>
      <c r="H265" s="512" t="s">
        <v>49</v>
      </c>
      <c r="I265" s="512"/>
      <c r="J265" s="512" t="s">
        <v>212</v>
      </c>
      <c r="K265" s="512" t="b">
        <v>1</v>
      </c>
      <c r="L265" s="512">
        <v>5</v>
      </c>
      <c r="M265" s="513">
        <v>2027</v>
      </c>
      <c r="N265" s="514">
        <v>0</v>
      </c>
      <c r="O265" s="515">
        <v>44620</v>
      </c>
      <c r="P265" s="515">
        <v>44620</v>
      </c>
      <c r="Q265" s="516">
        <v>0</v>
      </c>
    </row>
    <row r="266" spans="1:17" ht="16.5">
      <c r="A266" s="9">
        <v>2022</v>
      </c>
      <c r="B266" s="10" t="s">
        <v>748</v>
      </c>
      <c r="C266" s="511" t="s">
        <v>749</v>
      </c>
      <c r="D266" s="512">
        <v>218000</v>
      </c>
      <c r="E266" s="512">
        <v>0</v>
      </c>
      <c r="F266" s="512"/>
      <c r="G266" s="512">
        <v>51111</v>
      </c>
      <c r="H266" s="512" t="s">
        <v>49</v>
      </c>
      <c r="I266" s="512"/>
      <c r="J266" s="512" t="s">
        <v>212</v>
      </c>
      <c r="K266" s="512" t="b">
        <v>1</v>
      </c>
      <c r="L266" s="512">
        <v>1</v>
      </c>
      <c r="M266" s="513">
        <v>2023</v>
      </c>
      <c r="N266" s="514">
        <v>0</v>
      </c>
      <c r="O266" s="515">
        <v>44620</v>
      </c>
      <c r="P266" s="515">
        <v>44620</v>
      </c>
      <c r="Q266" s="516">
        <v>0</v>
      </c>
    </row>
    <row r="267" spans="1:17" ht="16.5">
      <c r="A267" s="9">
        <v>2022</v>
      </c>
      <c r="B267" s="10" t="s">
        <v>748</v>
      </c>
      <c r="C267" s="511" t="s">
        <v>749</v>
      </c>
      <c r="D267" s="512">
        <v>218000</v>
      </c>
      <c r="E267" s="512">
        <v>0</v>
      </c>
      <c r="F267" s="512"/>
      <c r="G267" s="512">
        <v>51111</v>
      </c>
      <c r="H267" s="512" t="s">
        <v>49</v>
      </c>
      <c r="I267" s="512"/>
      <c r="J267" s="512" t="s">
        <v>212</v>
      </c>
      <c r="K267" s="512" t="b">
        <v>1</v>
      </c>
      <c r="L267" s="512">
        <v>2</v>
      </c>
      <c r="M267" s="513">
        <v>2024</v>
      </c>
      <c r="N267" s="514">
        <v>0</v>
      </c>
      <c r="O267" s="515">
        <v>44620</v>
      </c>
      <c r="P267" s="515">
        <v>44620</v>
      </c>
      <c r="Q267" s="516">
        <v>0</v>
      </c>
    </row>
    <row r="268" spans="1:17" ht="16.5">
      <c r="A268" s="9">
        <v>2022</v>
      </c>
      <c r="B268" s="10" t="s">
        <v>748</v>
      </c>
      <c r="C268" s="511" t="s">
        <v>749</v>
      </c>
      <c r="D268" s="512">
        <v>218000</v>
      </c>
      <c r="E268" s="512">
        <v>0</v>
      </c>
      <c r="F268" s="512"/>
      <c r="G268" s="512">
        <v>51111</v>
      </c>
      <c r="H268" s="512" t="s">
        <v>49</v>
      </c>
      <c r="I268" s="512"/>
      <c r="J268" s="512" t="s">
        <v>212</v>
      </c>
      <c r="K268" s="512" t="b">
        <v>1</v>
      </c>
      <c r="L268" s="512">
        <v>8</v>
      </c>
      <c r="M268" s="513">
        <v>2030</v>
      </c>
      <c r="N268" s="514">
        <v>0</v>
      </c>
      <c r="O268" s="515">
        <v>44620</v>
      </c>
      <c r="P268" s="515">
        <v>44620</v>
      </c>
      <c r="Q268" s="516">
        <v>0</v>
      </c>
    </row>
    <row r="269" spans="1:17" ht="16.5">
      <c r="A269" s="9">
        <v>2022</v>
      </c>
      <c r="B269" s="10" t="s">
        <v>748</v>
      </c>
      <c r="C269" s="511" t="s">
        <v>749</v>
      </c>
      <c r="D269" s="512">
        <v>218000</v>
      </c>
      <c r="E269" s="512">
        <v>0</v>
      </c>
      <c r="F269" s="512"/>
      <c r="G269" s="512">
        <v>51111</v>
      </c>
      <c r="H269" s="512" t="s">
        <v>49</v>
      </c>
      <c r="I269" s="512"/>
      <c r="J269" s="512" t="s">
        <v>212</v>
      </c>
      <c r="K269" s="512" t="b">
        <v>1</v>
      </c>
      <c r="L269" s="512">
        <v>6</v>
      </c>
      <c r="M269" s="513">
        <v>2028</v>
      </c>
      <c r="N269" s="514">
        <v>0</v>
      </c>
      <c r="O269" s="515">
        <v>44620</v>
      </c>
      <c r="P269" s="515">
        <v>44620</v>
      </c>
      <c r="Q269" s="516">
        <v>0</v>
      </c>
    </row>
    <row r="270" spans="1:17" ht="16.5">
      <c r="A270" s="9">
        <v>2022</v>
      </c>
      <c r="B270" s="10" t="s">
        <v>748</v>
      </c>
      <c r="C270" s="511" t="s">
        <v>749</v>
      </c>
      <c r="D270" s="512">
        <v>218000</v>
      </c>
      <c r="E270" s="512">
        <v>0</v>
      </c>
      <c r="F270" s="512"/>
      <c r="G270" s="512">
        <v>51111</v>
      </c>
      <c r="H270" s="512" t="s">
        <v>49</v>
      </c>
      <c r="I270" s="512"/>
      <c r="J270" s="512" t="s">
        <v>212</v>
      </c>
      <c r="K270" s="512" t="b">
        <v>1</v>
      </c>
      <c r="L270" s="512">
        <v>0</v>
      </c>
      <c r="M270" s="513">
        <v>2022</v>
      </c>
      <c r="N270" s="514">
        <v>0</v>
      </c>
      <c r="O270" s="515">
        <v>44620</v>
      </c>
      <c r="P270" s="515">
        <v>44620</v>
      </c>
      <c r="Q270" s="516">
        <v>0</v>
      </c>
    </row>
    <row r="271" spans="1:17" ht="16.5">
      <c r="A271" s="9">
        <v>2022</v>
      </c>
      <c r="B271" s="10" t="s">
        <v>748</v>
      </c>
      <c r="C271" s="511" t="s">
        <v>749</v>
      </c>
      <c r="D271" s="512">
        <v>218000</v>
      </c>
      <c r="E271" s="512">
        <v>0</v>
      </c>
      <c r="F271" s="512"/>
      <c r="G271" s="512">
        <v>20000</v>
      </c>
      <c r="H271" s="512">
        <v>2</v>
      </c>
      <c r="I271" s="512" t="s">
        <v>759</v>
      </c>
      <c r="J271" s="512" t="s">
        <v>19</v>
      </c>
      <c r="K271" s="512" t="b">
        <v>0</v>
      </c>
      <c r="L271" s="512">
        <v>7</v>
      </c>
      <c r="M271" s="513">
        <v>2029</v>
      </c>
      <c r="N271" s="514">
        <v>61767408</v>
      </c>
      <c r="O271" s="515">
        <v>44620</v>
      </c>
      <c r="P271" s="515">
        <v>44620</v>
      </c>
      <c r="Q271" s="516">
        <v>0</v>
      </c>
    </row>
    <row r="272" spans="1:17" ht="16.5">
      <c r="A272" s="9">
        <v>2022</v>
      </c>
      <c r="B272" s="10" t="s">
        <v>748</v>
      </c>
      <c r="C272" s="511" t="s">
        <v>749</v>
      </c>
      <c r="D272" s="512">
        <v>218000</v>
      </c>
      <c r="E272" s="512">
        <v>0</v>
      </c>
      <c r="F272" s="512"/>
      <c r="G272" s="512">
        <v>20000</v>
      </c>
      <c r="H272" s="512">
        <v>2</v>
      </c>
      <c r="I272" s="512" t="s">
        <v>759</v>
      </c>
      <c r="J272" s="512" t="s">
        <v>19</v>
      </c>
      <c r="K272" s="512" t="b">
        <v>0</v>
      </c>
      <c r="L272" s="512">
        <v>6</v>
      </c>
      <c r="M272" s="513">
        <v>2028</v>
      </c>
      <c r="N272" s="514">
        <v>59880124</v>
      </c>
      <c r="O272" s="515">
        <v>44620</v>
      </c>
      <c r="P272" s="515">
        <v>44620</v>
      </c>
      <c r="Q272" s="516">
        <v>0</v>
      </c>
    </row>
    <row r="273" spans="1:17" ht="16.5">
      <c r="A273" s="9">
        <v>2022</v>
      </c>
      <c r="B273" s="10" t="s">
        <v>748</v>
      </c>
      <c r="C273" s="511" t="s">
        <v>749</v>
      </c>
      <c r="D273" s="512">
        <v>218000</v>
      </c>
      <c r="E273" s="512">
        <v>0</v>
      </c>
      <c r="F273" s="512"/>
      <c r="G273" s="512">
        <v>20000</v>
      </c>
      <c r="H273" s="512">
        <v>2</v>
      </c>
      <c r="I273" s="512" t="s">
        <v>759</v>
      </c>
      <c r="J273" s="512" t="s">
        <v>19</v>
      </c>
      <c r="K273" s="512" t="b">
        <v>0</v>
      </c>
      <c r="L273" s="512">
        <v>10</v>
      </c>
      <c r="M273" s="513">
        <v>2032</v>
      </c>
      <c r="N273" s="514">
        <v>66438813</v>
      </c>
      <c r="O273" s="515">
        <v>44620</v>
      </c>
      <c r="P273" s="515">
        <v>44620</v>
      </c>
      <c r="Q273" s="516">
        <v>0</v>
      </c>
    </row>
    <row r="274" spans="1:17" ht="16.5">
      <c r="A274" s="9">
        <v>2022</v>
      </c>
      <c r="B274" s="10" t="s">
        <v>748</v>
      </c>
      <c r="C274" s="511" t="s">
        <v>749</v>
      </c>
      <c r="D274" s="512">
        <v>218000</v>
      </c>
      <c r="E274" s="512">
        <v>0</v>
      </c>
      <c r="F274" s="512"/>
      <c r="G274" s="512">
        <v>20000</v>
      </c>
      <c r="H274" s="512">
        <v>2</v>
      </c>
      <c r="I274" s="512" t="s">
        <v>759</v>
      </c>
      <c r="J274" s="512" t="s">
        <v>19</v>
      </c>
      <c r="K274" s="512" t="b">
        <v>0</v>
      </c>
      <c r="L274" s="512">
        <v>9</v>
      </c>
      <c r="M274" s="513">
        <v>2031</v>
      </c>
      <c r="N274" s="514">
        <v>65396118</v>
      </c>
      <c r="O274" s="515">
        <v>44620</v>
      </c>
      <c r="P274" s="515">
        <v>44620</v>
      </c>
      <c r="Q274" s="516">
        <v>0</v>
      </c>
    </row>
    <row r="275" spans="1:17" ht="16.5">
      <c r="A275" s="9">
        <v>2022</v>
      </c>
      <c r="B275" s="10" t="s">
        <v>748</v>
      </c>
      <c r="C275" s="511" t="s">
        <v>749</v>
      </c>
      <c r="D275" s="512">
        <v>218000</v>
      </c>
      <c r="E275" s="512">
        <v>0</v>
      </c>
      <c r="F275" s="512"/>
      <c r="G275" s="512">
        <v>20000</v>
      </c>
      <c r="H275" s="512">
        <v>2</v>
      </c>
      <c r="I275" s="512" t="s">
        <v>759</v>
      </c>
      <c r="J275" s="512" t="s">
        <v>19</v>
      </c>
      <c r="K275" s="512" t="b">
        <v>0</v>
      </c>
      <c r="L275" s="512">
        <v>5</v>
      </c>
      <c r="M275" s="513">
        <v>2027</v>
      </c>
      <c r="N275" s="514">
        <v>57435260</v>
      </c>
      <c r="O275" s="515">
        <v>44620</v>
      </c>
      <c r="P275" s="515">
        <v>44620</v>
      </c>
      <c r="Q275" s="516">
        <v>0</v>
      </c>
    </row>
    <row r="276" spans="1:17" ht="16.5">
      <c r="A276" s="9">
        <v>2022</v>
      </c>
      <c r="B276" s="10" t="s">
        <v>748</v>
      </c>
      <c r="C276" s="511" t="s">
        <v>749</v>
      </c>
      <c r="D276" s="512">
        <v>218000</v>
      </c>
      <c r="E276" s="512">
        <v>0</v>
      </c>
      <c r="F276" s="512"/>
      <c r="G276" s="512">
        <v>20000</v>
      </c>
      <c r="H276" s="512">
        <v>2</v>
      </c>
      <c r="I276" s="512" t="s">
        <v>759</v>
      </c>
      <c r="J276" s="512" t="s">
        <v>19</v>
      </c>
      <c r="K276" s="512" t="b">
        <v>0</v>
      </c>
      <c r="L276" s="512">
        <v>11</v>
      </c>
      <c r="M276" s="513">
        <v>2033</v>
      </c>
      <c r="N276" s="514">
        <v>68211722</v>
      </c>
      <c r="O276" s="515">
        <v>44620</v>
      </c>
      <c r="P276" s="515">
        <v>44620</v>
      </c>
      <c r="Q276" s="516">
        <v>0</v>
      </c>
    </row>
    <row r="277" spans="1:17" ht="16.5">
      <c r="A277" s="9">
        <v>2022</v>
      </c>
      <c r="B277" s="10" t="s">
        <v>748</v>
      </c>
      <c r="C277" s="511" t="s">
        <v>749</v>
      </c>
      <c r="D277" s="512">
        <v>218000</v>
      </c>
      <c r="E277" s="512">
        <v>0</v>
      </c>
      <c r="F277" s="512"/>
      <c r="G277" s="512">
        <v>20000</v>
      </c>
      <c r="H277" s="512">
        <v>2</v>
      </c>
      <c r="I277" s="512" t="s">
        <v>759</v>
      </c>
      <c r="J277" s="512" t="s">
        <v>19</v>
      </c>
      <c r="K277" s="512" t="b">
        <v>0</v>
      </c>
      <c r="L277" s="512">
        <v>2</v>
      </c>
      <c r="M277" s="513">
        <v>2024</v>
      </c>
      <c r="N277" s="514">
        <v>51792637</v>
      </c>
      <c r="O277" s="515">
        <v>44620</v>
      </c>
      <c r="P277" s="515">
        <v>44620</v>
      </c>
      <c r="Q277" s="516">
        <v>0</v>
      </c>
    </row>
    <row r="278" spans="1:17" ht="16.5">
      <c r="A278" s="9">
        <v>2022</v>
      </c>
      <c r="B278" s="10" t="s">
        <v>748</v>
      </c>
      <c r="C278" s="511" t="s">
        <v>749</v>
      </c>
      <c r="D278" s="512">
        <v>218000</v>
      </c>
      <c r="E278" s="512">
        <v>0</v>
      </c>
      <c r="F278" s="512"/>
      <c r="G278" s="512">
        <v>20000</v>
      </c>
      <c r="H278" s="512">
        <v>2</v>
      </c>
      <c r="I278" s="512" t="s">
        <v>759</v>
      </c>
      <c r="J278" s="512" t="s">
        <v>19</v>
      </c>
      <c r="K278" s="512" t="b">
        <v>0</v>
      </c>
      <c r="L278" s="512">
        <v>1</v>
      </c>
      <c r="M278" s="513">
        <v>2023</v>
      </c>
      <c r="N278" s="514">
        <v>72658346</v>
      </c>
      <c r="O278" s="515">
        <v>44620</v>
      </c>
      <c r="P278" s="515">
        <v>44620</v>
      </c>
      <c r="Q278" s="516">
        <v>0</v>
      </c>
    </row>
    <row r="279" spans="1:17" ht="16.5">
      <c r="A279" s="9">
        <v>2022</v>
      </c>
      <c r="B279" s="10" t="s">
        <v>748</v>
      </c>
      <c r="C279" s="511" t="s">
        <v>749</v>
      </c>
      <c r="D279" s="512">
        <v>218000</v>
      </c>
      <c r="E279" s="512">
        <v>0</v>
      </c>
      <c r="F279" s="512"/>
      <c r="G279" s="512">
        <v>20000</v>
      </c>
      <c r="H279" s="512">
        <v>2</v>
      </c>
      <c r="I279" s="512" t="s">
        <v>759</v>
      </c>
      <c r="J279" s="512" t="s">
        <v>19</v>
      </c>
      <c r="K279" s="512" t="b">
        <v>0</v>
      </c>
      <c r="L279" s="512">
        <v>0</v>
      </c>
      <c r="M279" s="513">
        <v>2022</v>
      </c>
      <c r="N279" s="514">
        <v>75388933</v>
      </c>
      <c r="O279" s="515">
        <v>44620</v>
      </c>
      <c r="P279" s="515">
        <v>44620</v>
      </c>
      <c r="Q279" s="516">
        <v>0</v>
      </c>
    </row>
    <row r="280" spans="1:17" ht="16.5">
      <c r="A280" s="9">
        <v>2022</v>
      </c>
      <c r="B280" s="10" t="s">
        <v>748</v>
      </c>
      <c r="C280" s="511" t="s">
        <v>749</v>
      </c>
      <c r="D280" s="512">
        <v>218000</v>
      </c>
      <c r="E280" s="512">
        <v>0</v>
      </c>
      <c r="F280" s="512"/>
      <c r="G280" s="512">
        <v>20000</v>
      </c>
      <c r="H280" s="512">
        <v>2</v>
      </c>
      <c r="I280" s="512" t="s">
        <v>759</v>
      </c>
      <c r="J280" s="512" t="s">
        <v>19</v>
      </c>
      <c r="K280" s="512" t="b">
        <v>0</v>
      </c>
      <c r="L280" s="512">
        <v>3</v>
      </c>
      <c r="M280" s="513">
        <v>2025</v>
      </c>
      <c r="N280" s="514">
        <v>53569905</v>
      </c>
      <c r="O280" s="515">
        <v>44620</v>
      </c>
      <c r="P280" s="515">
        <v>44620</v>
      </c>
      <c r="Q280" s="516">
        <v>0</v>
      </c>
    </row>
    <row r="281" spans="1:17" ht="16.5">
      <c r="A281" s="9">
        <v>2022</v>
      </c>
      <c r="B281" s="10" t="s">
        <v>748</v>
      </c>
      <c r="C281" s="511" t="s">
        <v>749</v>
      </c>
      <c r="D281" s="512">
        <v>218000</v>
      </c>
      <c r="E281" s="512">
        <v>0</v>
      </c>
      <c r="F281" s="512"/>
      <c r="G281" s="512">
        <v>20000</v>
      </c>
      <c r="H281" s="512">
        <v>2</v>
      </c>
      <c r="I281" s="512" t="s">
        <v>759</v>
      </c>
      <c r="J281" s="512" t="s">
        <v>19</v>
      </c>
      <c r="K281" s="512" t="b">
        <v>0</v>
      </c>
      <c r="L281" s="512">
        <v>8</v>
      </c>
      <c r="M281" s="513">
        <v>2030</v>
      </c>
      <c r="N281" s="514">
        <v>63587663</v>
      </c>
      <c r="O281" s="515">
        <v>44620</v>
      </c>
      <c r="P281" s="515">
        <v>44620</v>
      </c>
      <c r="Q281" s="516">
        <v>0</v>
      </c>
    </row>
    <row r="282" spans="1:17" ht="16.5">
      <c r="A282" s="9">
        <v>2022</v>
      </c>
      <c r="B282" s="10" t="s">
        <v>748</v>
      </c>
      <c r="C282" s="511" t="s">
        <v>749</v>
      </c>
      <c r="D282" s="512">
        <v>218000</v>
      </c>
      <c r="E282" s="512">
        <v>0</v>
      </c>
      <c r="F282" s="512"/>
      <c r="G282" s="512">
        <v>20000</v>
      </c>
      <c r="H282" s="512">
        <v>2</v>
      </c>
      <c r="I282" s="512" t="s">
        <v>759</v>
      </c>
      <c r="J282" s="512" t="s">
        <v>19</v>
      </c>
      <c r="K282" s="512" t="b">
        <v>0</v>
      </c>
      <c r="L282" s="512">
        <v>4</v>
      </c>
      <c r="M282" s="513">
        <v>2026</v>
      </c>
      <c r="N282" s="514">
        <v>55497351</v>
      </c>
      <c r="O282" s="515">
        <v>44620</v>
      </c>
      <c r="P282" s="515">
        <v>44620</v>
      </c>
      <c r="Q282" s="516">
        <v>0</v>
      </c>
    </row>
    <row r="283" spans="1:17" ht="16.5">
      <c r="A283" s="9">
        <v>2022</v>
      </c>
      <c r="B283" s="10" t="s">
        <v>748</v>
      </c>
      <c r="C283" s="511" t="s">
        <v>749</v>
      </c>
      <c r="D283" s="512">
        <v>218000</v>
      </c>
      <c r="E283" s="512">
        <v>0</v>
      </c>
      <c r="F283" s="512"/>
      <c r="G283" s="512">
        <v>121000</v>
      </c>
      <c r="H283" s="512">
        <v>12.1</v>
      </c>
      <c r="I283" s="512" t="s">
        <v>760</v>
      </c>
      <c r="J283" s="512" t="s">
        <v>761</v>
      </c>
      <c r="K283" s="512" t="b">
        <v>1</v>
      </c>
      <c r="L283" s="512">
        <v>10</v>
      </c>
      <c r="M283" s="513">
        <v>2032</v>
      </c>
      <c r="N283" s="514">
        <v>0</v>
      </c>
      <c r="O283" s="515">
        <v>44620</v>
      </c>
      <c r="P283" s="515">
        <v>44620</v>
      </c>
      <c r="Q283" s="516">
        <v>0</v>
      </c>
    </row>
    <row r="284" spans="1:17" ht="16.5">
      <c r="A284" s="9">
        <v>2022</v>
      </c>
      <c r="B284" s="10" t="s">
        <v>748</v>
      </c>
      <c r="C284" s="511" t="s">
        <v>749</v>
      </c>
      <c r="D284" s="512">
        <v>218000</v>
      </c>
      <c r="E284" s="512">
        <v>0</v>
      </c>
      <c r="F284" s="512"/>
      <c r="G284" s="512">
        <v>121000</v>
      </c>
      <c r="H284" s="512">
        <v>12.1</v>
      </c>
      <c r="I284" s="512" t="s">
        <v>760</v>
      </c>
      <c r="J284" s="512" t="s">
        <v>761</v>
      </c>
      <c r="K284" s="512" t="b">
        <v>1</v>
      </c>
      <c r="L284" s="512">
        <v>4</v>
      </c>
      <c r="M284" s="513">
        <v>2026</v>
      </c>
      <c r="N284" s="514">
        <v>0</v>
      </c>
      <c r="O284" s="515">
        <v>44620</v>
      </c>
      <c r="P284" s="515">
        <v>44620</v>
      </c>
      <c r="Q284" s="516">
        <v>0</v>
      </c>
    </row>
    <row r="285" spans="1:17" ht="16.5">
      <c r="A285" s="9">
        <v>2022</v>
      </c>
      <c r="B285" s="10" t="s">
        <v>748</v>
      </c>
      <c r="C285" s="511" t="s">
        <v>749</v>
      </c>
      <c r="D285" s="512">
        <v>218000</v>
      </c>
      <c r="E285" s="512">
        <v>0</v>
      </c>
      <c r="F285" s="512"/>
      <c r="G285" s="512">
        <v>121000</v>
      </c>
      <c r="H285" s="512">
        <v>12.1</v>
      </c>
      <c r="I285" s="512" t="s">
        <v>760</v>
      </c>
      <c r="J285" s="512" t="s">
        <v>761</v>
      </c>
      <c r="K285" s="512" t="b">
        <v>1</v>
      </c>
      <c r="L285" s="512">
        <v>7</v>
      </c>
      <c r="M285" s="513">
        <v>2029</v>
      </c>
      <c r="N285" s="514">
        <v>0</v>
      </c>
      <c r="O285" s="515">
        <v>44620</v>
      </c>
      <c r="P285" s="515">
        <v>44620</v>
      </c>
      <c r="Q285" s="516">
        <v>0</v>
      </c>
    </row>
    <row r="286" spans="1:17" ht="16.5">
      <c r="A286" s="9">
        <v>2022</v>
      </c>
      <c r="B286" s="10" t="s">
        <v>748</v>
      </c>
      <c r="C286" s="511" t="s">
        <v>749</v>
      </c>
      <c r="D286" s="512">
        <v>218000</v>
      </c>
      <c r="E286" s="512">
        <v>0</v>
      </c>
      <c r="F286" s="512"/>
      <c r="G286" s="512">
        <v>121000</v>
      </c>
      <c r="H286" s="512">
        <v>12.1</v>
      </c>
      <c r="I286" s="512" t="s">
        <v>760</v>
      </c>
      <c r="J286" s="512" t="s">
        <v>761</v>
      </c>
      <c r="K286" s="512" t="b">
        <v>1</v>
      </c>
      <c r="L286" s="512">
        <v>3</v>
      </c>
      <c r="M286" s="513">
        <v>2025</v>
      </c>
      <c r="N286" s="514">
        <v>0</v>
      </c>
      <c r="O286" s="515">
        <v>44620</v>
      </c>
      <c r="P286" s="515">
        <v>44620</v>
      </c>
      <c r="Q286" s="516">
        <v>0</v>
      </c>
    </row>
    <row r="287" spans="1:17" ht="16.5">
      <c r="A287" s="9">
        <v>2022</v>
      </c>
      <c r="B287" s="10" t="s">
        <v>748</v>
      </c>
      <c r="C287" s="511" t="s">
        <v>749</v>
      </c>
      <c r="D287" s="512">
        <v>218000</v>
      </c>
      <c r="E287" s="512">
        <v>0</v>
      </c>
      <c r="F287" s="512"/>
      <c r="G287" s="512">
        <v>121000</v>
      </c>
      <c r="H287" s="512">
        <v>12.1</v>
      </c>
      <c r="I287" s="512" t="s">
        <v>760</v>
      </c>
      <c r="J287" s="512" t="s">
        <v>761</v>
      </c>
      <c r="K287" s="512" t="b">
        <v>1</v>
      </c>
      <c r="L287" s="512">
        <v>6</v>
      </c>
      <c r="M287" s="513">
        <v>2028</v>
      </c>
      <c r="N287" s="514">
        <v>0</v>
      </c>
      <c r="O287" s="515">
        <v>44620</v>
      </c>
      <c r="P287" s="515">
        <v>44620</v>
      </c>
      <c r="Q287" s="516">
        <v>0</v>
      </c>
    </row>
    <row r="288" spans="1:17" ht="16.5">
      <c r="A288" s="9">
        <v>2022</v>
      </c>
      <c r="B288" s="10" t="s">
        <v>748</v>
      </c>
      <c r="C288" s="511" t="s">
        <v>749</v>
      </c>
      <c r="D288" s="512">
        <v>218000</v>
      </c>
      <c r="E288" s="512">
        <v>0</v>
      </c>
      <c r="F288" s="512"/>
      <c r="G288" s="512">
        <v>121000</v>
      </c>
      <c r="H288" s="512">
        <v>12.1</v>
      </c>
      <c r="I288" s="512" t="s">
        <v>760</v>
      </c>
      <c r="J288" s="512" t="s">
        <v>761</v>
      </c>
      <c r="K288" s="512" t="b">
        <v>1</v>
      </c>
      <c r="L288" s="512">
        <v>0</v>
      </c>
      <c r="M288" s="513">
        <v>2022</v>
      </c>
      <c r="N288" s="514">
        <v>0</v>
      </c>
      <c r="O288" s="515">
        <v>44620</v>
      </c>
      <c r="P288" s="515">
        <v>44620</v>
      </c>
      <c r="Q288" s="516">
        <v>0</v>
      </c>
    </row>
    <row r="289" spans="1:17" ht="16.5">
      <c r="A289" s="9">
        <v>2022</v>
      </c>
      <c r="B289" s="10" t="s">
        <v>748</v>
      </c>
      <c r="C289" s="511" t="s">
        <v>749</v>
      </c>
      <c r="D289" s="512">
        <v>218000</v>
      </c>
      <c r="E289" s="512">
        <v>0</v>
      </c>
      <c r="F289" s="512"/>
      <c r="G289" s="512">
        <v>121000</v>
      </c>
      <c r="H289" s="512">
        <v>12.1</v>
      </c>
      <c r="I289" s="512" t="s">
        <v>760</v>
      </c>
      <c r="J289" s="512" t="s">
        <v>761</v>
      </c>
      <c r="K289" s="512" t="b">
        <v>1</v>
      </c>
      <c r="L289" s="512">
        <v>9</v>
      </c>
      <c r="M289" s="513">
        <v>2031</v>
      </c>
      <c r="N289" s="514">
        <v>0</v>
      </c>
      <c r="O289" s="515">
        <v>44620</v>
      </c>
      <c r="P289" s="515">
        <v>44620</v>
      </c>
      <c r="Q289" s="516">
        <v>0</v>
      </c>
    </row>
    <row r="290" spans="1:17" ht="16.5">
      <c r="A290" s="9">
        <v>2022</v>
      </c>
      <c r="B290" s="10" t="s">
        <v>748</v>
      </c>
      <c r="C290" s="511" t="s">
        <v>749</v>
      </c>
      <c r="D290" s="512">
        <v>218000</v>
      </c>
      <c r="E290" s="512">
        <v>0</v>
      </c>
      <c r="F290" s="512"/>
      <c r="G290" s="512">
        <v>121000</v>
      </c>
      <c r="H290" s="512">
        <v>12.1</v>
      </c>
      <c r="I290" s="512" t="s">
        <v>760</v>
      </c>
      <c r="J290" s="512" t="s">
        <v>761</v>
      </c>
      <c r="K290" s="512" t="b">
        <v>1</v>
      </c>
      <c r="L290" s="512">
        <v>1</v>
      </c>
      <c r="M290" s="513">
        <v>2023</v>
      </c>
      <c r="N290" s="514">
        <v>0</v>
      </c>
      <c r="O290" s="515">
        <v>44620</v>
      </c>
      <c r="P290" s="515">
        <v>44620</v>
      </c>
      <c r="Q290" s="516">
        <v>0</v>
      </c>
    </row>
    <row r="291" spans="1:17" ht="16.5">
      <c r="A291" s="9">
        <v>2022</v>
      </c>
      <c r="B291" s="10" t="s">
        <v>748</v>
      </c>
      <c r="C291" s="511" t="s">
        <v>749</v>
      </c>
      <c r="D291" s="512">
        <v>218000</v>
      </c>
      <c r="E291" s="512">
        <v>0</v>
      </c>
      <c r="F291" s="512"/>
      <c r="G291" s="512">
        <v>121000</v>
      </c>
      <c r="H291" s="512">
        <v>12.1</v>
      </c>
      <c r="I291" s="512" t="s">
        <v>760</v>
      </c>
      <c r="J291" s="512" t="s">
        <v>761</v>
      </c>
      <c r="K291" s="512" t="b">
        <v>1</v>
      </c>
      <c r="L291" s="512">
        <v>8</v>
      </c>
      <c r="M291" s="513">
        <v>2030</v>
      </c>
      <c r="N291" s="514">
        <v>0</v>
      </c>
      <c r="O291" s="515">
        <v>44620</v>
      </c>
      <c r="P291" s="515">
        <v>44620</v>
      </c>
      <c r="Q291" s="516">
        <v>0</v>
      </c>
    </row>
    <row r="292" spans="1:17" ht="16.5">
      <c r="A292" s="9">
        <v>2022</v>
      </c>
      <c r="B292" s="10" t="s">
        <v>748</v>
      </c>
      <c r="C292" s="511" t="s">
        <v>749</v>
      </c>
      <c r="D292" s="512">
        <v>218000</v>
      </c>
      <c r="E292" s="512">
        <v>0</v>
      </c>
      <c r="F292" s="512"/>
      <c r="G292" s="512">
        <v>121000</v>
      </c>
      <c r="H292" s="512">
        <v>12.1</v>
      </c>
      <c r="I292" s="512" t="s">
        <v>760</v>
      </c>
      <c r="J292" s="512" t="s">
        <v>761</v>
      </c>
      <c r="K292" s="512" t="b">
        <v>1</v>
      </c>
      <c r="L292" s="512">
        <v>5</v>
      </c>
      <c r="M292" s="513">
        <v>2027</v>
      </c>
      <c r="N292" s="514">
        <v>0</v>
      </c>
      <c r="O292" s="515">
        <v>44620</v>
      </c>
      <c r="P292" s="515">
        <v>44620</v>
      </c>
      <c r="Q292" s="516">
        <v>0</v>
      </c>
    </row>
    <row r="293" spans="1:17" ht="16.5">
      <c r="A293" s="9">
        <v>2022</v>
      </c>
      <c r="B293" s="10" t="s">
        <v>748</v>
      </c>
      <c r="C293" s="511" t="s">
        <v>749</v>
      </c>
      <c r="D293" s="512">
        <v>218000</v>
      </c>
      <c r="E293" s="512">
        <v>0</v>
      </c>
      <c r="F293" s="512"/>
      <c r="G293" s="512">
        <v>121000</v>
      </c>
      <c r="H293" s="512">
        <v>12.1</v>
      </c>
      <c r="I293" s="512" t="s">
        <v>760</v>
      </c>
      <c r="J293" s="512" t="s">
        <v>761</v>
      </c>
      <c r="K293" s="512" t="b">
        <v>1</v>
      </c>
      <c r="L293" s="512">
        <v>11</v>
      </c>
      <c r="M293" s="513">
        <v>2033</v>
      </c>
      <c r="N293" s="514">
        <v>0</v>
      </c>
      <c r="O293" s="515">
        <v>44620</v>
      </c>
      <c r="P293" s="515">
        <v>44620</v>
      </c>
      <c r="Q293" s="516">
        <v>0</v>
      </c>
    </row>
    <row r="294" spans="1:17" ht="16.5">
      <c r="A294" s="9">
        <v>2022</v>
      </c>
      <c r="B294" s="10" t="s">
        <v>748</v>
      </c>
      <c r="C294" s="511" t="s">
        <v>749</v>
      </c>
      <c r="D294" s="512">
        <v>218000</v>
      </c>
      <c r="E294" s="512">
        <v>0</v>
      </c>
      <c r="F294" s="512"/>
      <c r="G294" s="512">
        <v>121000</v>
      </c>
      <c r="H294" s="512">
        <v>12.1</v>
      </c>
      <c r="I294" s="512" t="s">
        <v>760</v>
      </c>
      <c r="J294" s="512" t="s">
        <v>761</v>
      </c>
      <c r="K294" s="512" t="b">
        <v>1</v>
      </c>
      <c r="L294" s="512">
        <v>2</v>
      </c>
      <c r="M294" s="513">
        <v>2024</v>
      </c>
      <c r="N294" s="514">
        <v>0</v>
      </c>
      <c r="O294" s="515">
        <v>44620</v>
      </c>
      <c r="P294" s="515">
        <v>44620</v>
      </c>
      <c r="Q294" s="516">
        <v>0</v>
      </c>
    </row>
    <row r="295" spans="1:17" ht="16.5">
      <c r="A295" s="9">
        <v>2022</v>
      </c>
      <c r="B295" s="10" t="s">
        <v>748</v>
      </c>
      <c r="C295" s="511" t="s">
        <v>749</v>
      </c>
      <c r="D295" s="512">
        <v>218000</v>
      </c>
      <c r="E295" s="512">
        <v>0</v>
      </c>
      <c r="F295" s="512"/>
      <c r="G295" s="512">
        <v>22100</v>
      </c>
      <c r="H295" s="512" t="s">
        <v>271</v>
      </c>
      <c r="I295" s="512"/>
      <c r="J295" s="512" t="s">
        <v>200</v>
      </c>
      <c r="K295" s="512" t="b">
        <v>0</v>
      </c>
      <c r="L295" s="512">
        <v>2</v>
      </c>
      <c r="M295" s="513">
        <v>2024</v>
      </c>
      <c r="N295" s="514">
        <v>1030284</v>
      </c>
      <c r="O295" s="515">
        <v>44620</v>
      </c>
      <c r="P295" s="515">
        <v>44620</v>
      </c>
      <c r="Q295" s="516">
        <v>0</v>
      </c>
    </row>
    <row r="296" spans="1:17" ht="16.5">
      <c r="A296" s="9">
        <v>2022</v>
      </c>
      <c r="B296" s="10" t="s">
        <v>748</v>
      </c>
      <c r="C296" s="511" t="s">
        <v>749</v>
      </c>
      <c r="D296" s="512">
        <v>218000</v>
      </c>
      <c r="E296" s="512">
        <v>0</v>
      </c>
      <c r="F296" s="512"/>
      <c r="G296" s="512">
        <v>22100</v>
      </c>
      <c r="H296" s="512" t="s">
        <v>271</v>
      </c>
      <c r="I296" s="512"/>
      <c r="J296" s="512" t="s">
        <v>200</v>
      </c>
      <c r="K296" s="512" t="b">
        <v>0</v>
      </c>
      <c r="L296" s="512">
        <v>7</v>
      </c>
      <c r="M296" s="513">
        <v>2029</v>
      </c>
      <c r="N296" s="514">
        <v>4690393</v>
      </c>
      <c r="O296" s="515">
        <v>44620</v>
      </c>
      <c r="P296" s="515">
        <v>44620</v>
      </c>
      <c r="Q296" s="516">
        <v>0</v>
      </c>
    </row>
    <row r="297" spans="1:17" ht="16.5">
      <c r="A297" s="9">
        <v>2022</v>
      </c>
      <c r="B297" s="10" t="s">
        <v>748</v>
      </c>
      <c r="C297" s="511" t="s">
        <v>749</v>
      </c>
      <c r="D297" s="512">
        <v>218000</v>
      </c>
      <c r="E297" s="512">
        <v>0</v>
      </c>
      <c r="F297" s="512"/>
      <c r="G297" s="512">
        <v>22100</v>
      </c>
      <c r="H297" s="512" t="s">
        <v>271</v>
      </c>
      <c r="I297" s="512"/>
      <c r="J297" s="512" t="s">
        <v>200</v>
      </c>
      <c r="K297" s="512" t="b">
        <v>0</v>
      </c>
      <c r="L297" s="512">
        <v>4</v>
      </c>
      <c r="M297" s="513">
        <v>2026</v>
      </c>
      <c r="N297" s="514">
        <v>2316905</v>
      </c>
      <c r="O297" s="515">
        <v>44620</v>
      </c>
      <c r="P297" s="515">
        <v>44620</v>
      </c>
      <c r="Q297" s="516">
        <v>0</v>
      </c>
    </row>
    <row r="298" spans="1:17" ht="16.5">
      <c r="A298" s="9">
        <v>2022</v>
      </c>
      <c r="B298" s="10" t="s">
        <v>748</v>
      </c>
      <c r="C298" s="511" t="s">
        <v>749</v>
      </c>
      <c r="D298" s="512">
        <v>218000</v>
      </c>
      <c r="E298" s="512">
        <v>0</v>
      </c>
      <c r="F298" s="512"/>
      <c r="G298" s="512">
        <v>22100</v>
      </c>
      <c r="H298" s="512" t="s">
        <v>271</v>
      </c>
      <c r="I298" s="512"/>
      <c r="J298" s="512" t="s">
        <v>200</v>
      </c>
      <c r="K298" s="512" t="b">
        <v>0</v>
      </c>
      <c r="L298" s="512">
        <v>3</v>
      </c>
      <c r="M298" s="513">
        <v>2025</v>
      </c>
      <c r="N298" s="514">
        <v>1613533</v>
      </c>
      <c r="O298" s="515">
        <v>44620</v>
      </c>
      <c r="P298" s="515">
        <v>44620</v>
      </c>
      <c r="Q298" s="516">
        <v>0</v>
      </c>
    </row>
    <row r="299" spans="1:17" ht="16.5">
      <c r="A299" s="9">
        <v>2022</v>
      </c>
      <c r="B299" s="10" t="s">
        <v>748</v>
      </c>
      <c r="C299" s="511" t="s">
        <v>749</v>
      </c>
      <c r="D299" s="512">
        <v>218000</v>
      </c>
      <c r="E299" s="512">
        <v>0</v>
      </c>
      <c r="F299" s="512"/>
      <c r="G299" s="512">
        <v>22100</v>
      </c>
      <c r="H299" s="512" t="s">
        <v>271</v>
      </c>
      <c r="I299" s="512"/>
      <c r="J299" s="512" t="s">
        <v>200</v>
      </c>
      <c r="K299" s="512" t="b">
        <v>0</v>
      </c>
      <c r="L299" s="512">
        <v>10</v>
      </c>
      <c r="M299" s="513">
        <v>2032</v>
      </c>
      <c r="N299" s="514">
        <v>5111826</v>
      </c>
      <c r="O299" s="515">
        <v>44620</v>
      </c>
      <c r="P299" s="515">
        <v>44620</v>
      </c>
      <c r="Q299" s="516">
        <v>0</v>
      </c>
    </row>
    <row r="300" spans="1:17" ht="16.5">
      <c r="A300" s="9">
        <v>2022</v>
      </c>
      <c r="B300" s="10" t="s">
        <v>748</v>
      </c>
      <c r="C300" s="511" t="s">
        <v>749</v>
      </c>
      <c r="D300" s="512">
        <v>218000</v>
      </c>
      <c r="E300" s="512">
        <v>0</v>
      </c>
      <c r="F300" s="512"/>
      <c r="G300" s="512">
        <v>22100</v>
      </c>
      <c r="H300" s="512" t="s">
        <v>271</v>
      </c>
      <c r="I300" s="512"/>
      <c r="J300" s="512" t="s">
        <v>200</v>
      </c>
      <c r="K300" s="512" t="b">
        <v>0</v>
      </c>
      <c r="L300" s="512">
        <v>11</v>
      </c>
      <c r="M300" s="513">
        <v>2033</v>
      </c>
      <c r="N300" s="514">
        <v>5415107</v>
      </c>
      <c r="O300" s="515">
        <v>44620</v>
      </c>
      <c r="P300" s="515">
        <v>44620</v>
      </c>
      <c r="Q300" s="516">
        <v>0</v>
      </c>
    </row>
    <row r="301" spans="1:17" ht="16.5">
      <c r="A301" s="9">
        <v>2022</v>
      </c>
      <c r="B301" s="10" t="s">
        <v>748</v>
      </c>
      <c r="C301" s="511" t="s">
        <v>749</v>
      </c>
      <c r="D301" s="512">
        <v>218000</v>
      </c>
      <c r="E301" s="512">
        <v>0</v>
      </c>
      <c r="F301" s="512"/>
      <c r="G301" s="512">
        <v>22100</v>
      </c>
      <c r="H301" s="512" t="s">
        <v>271</v>
      </c>
      <c r="I301" s="512"/>
      <c r="J301" s="512" t="s">
        <v>200</v>
      </c>
      <c r="K301" s="512" t="b">
        <v>0</v>
      </c>
      <c r="L301" s="512">
        <v>0</v>
      </c>
      <c r="M301" s="513">
        <v>2022</v>
      </c>
      <c r="N301" s="514">
        <v>25624888</v>
      </c>
      <c r="O301" s="515">
        <v>44620</v>
      </c>
      <c r="P301" s="515">
        <v>44620</v>
      </c>
      <c r="Q301" s="516">
        <v>0</v>
      </c>
    </row>
    <row r="302" spans="1:17" ht="16.5">
      <c r="A302" s="9">
        <v>2022</v>
      </c>
      <c r="B302" s="10" t="s">
        <v>748</v>
      </c>
      <c r="C302" s="511" t="s">
        <v>749</v>
      </c>
      <c r="D302" s="512">
        <v>218000</v>
      </c>
      <c r="E302" s="512">
        <v>0</v>
      </c>
      <c r="F302" s="512"/>
      <c r="G302" s="512">
        <v>22100</v>
      </c>
      <c r="H302" s="512" t="s">
        <v>271</v>
      </c>
      <c r="I302" s="512"/>
      <c r="J302" s="512" t="s">
        <v>200</v>
      </c>
      <c r="K302" s="512" t="b">
        <v>0</v>
      </c>
      <c r="L302" s="512">
        <v>5</v>
      </c>
      <c r="M302" s="513">
        <v>2027</v>
      </c>
      <c r="N302" s="514">
        <v>2998543</v>
      </c>
      <c r="O302" s="515">
        <v>44620</v>
      </c>
      <c r="P302" s="515">
        <v>44620</v>
      </c>
      <c r="Q302" s="516">
        <v>0</v>
      </c>
    </row>
    <row r="303" spans="1:17" ht="16.5">
      <c r="A303" s="9">
        <v>2022</v>
      </c>
      <c r="B303" s="10" t="s">
        <v>748</v>
      </c>
      <c r="C303" s="511" t="s">
        <v>749</v>
      </c>
      <c r="D303" s="512">
        <v>218000</v>
      </c>
      <c r="E303" s="512">
        <v>0</v>
      </c>
      <c r="F303" s="512"/>
      <c r="G303" s="512">
        <v>22100</v>
      </c>
      <c r="H303" s="512" t="s">
        <v>271</v>
      </c>
      <c r="I303" s="512"/>
      <c r="J303" s="512" t="s">
        <v>200</v>
      </c>
      <c r="K303" s="512" t="b">
        <v>0</v>
      </c>
      <c r="L303" s="512">
        <v>9</v>
      </c>
      <c r="M303" s="513">
        <v>2031</v>
      </c>
      <c r="N303" s="514">
        <v>5514120</v>
      </c>
      <c r="O303" s="515">
        <v>44620</v>
      </c>
      <c r="P303" s="515">
        <v>44620</v>
      </c>
      <c r="Q303" s="516">
        <v>0</v>
      </c>
    </row>
    <row r="304" spans="1:17" ht="16.5">
      <c r="A304" s="9">
        <v>2022</v>
      </c>
      <c r="B304" s="10" t="s">
        <v>748</v>
      </c>
      <c r="C304" s="511" t="s">
        <v>749</v>
      </c>
      <c r="D304" s="512">
        <v>218000</v>
      </c>
      <c r="E304" s="512">
        <v>0</v>
      </c>
      <c r="F304" s="512"/>
      <c r="G304" s="512">
        <v>22100</v>
      </c>
      <c r="H304" s="512" t="s">
        <v>271</v>
      </c>
      <c r="I304" s="512"/>
      <c r="J304" s="512" t="s">
        <v>200</v>
      </c>
      <c r="K304" s="512" t="b">
        <v>0</v>
      </c>
      <c r="L304" s="512">
        <v>1</v>
      </c>
      <c r="M304" s="513">
        <v>2023</v>
      </c>
      <c r="N304" s="514">
        <v>23154854</v>
      </c>
      <c r="O304" s="515">
        <v>44620</v>
      </c>
      <c r="P304" s="515">
        <v>44620</v>
      </c>
      <c r="Q304" s="516">
        <v>0</v>
      </c>
    </row>
    <row r="305" spans="1:17" ht="16.5">
      <c r="A305" s="9">
        <v>2022</v>
      </c>
      <c r="B305" s="10" t="s">
        <v>748</v>
      </c>
      <c r="C305" s="511" t="s">
        <v>749</v>
      </c>
      <c r="D305" s="512">
        <v>218000</v>
      </c>
      <c r="E305" s="512">
        <v>0</v>
      </c>
      <c r="F305" s="512"/>
      <c r="G305" s="512">
        <v>22100</v>
      </c>
      <c r="H305" s="512" t="s">
        <v>271</v>
      </c>
      <c r="I305" s="512"/>
      <c r="J305" s="512" t="s">
        <v>200</v>
      </c>
      <c r="K305" s="512" t="b">
        <v>0</v>
      </c>
      <c r="L305" s="512">
        <v>8</v>
      </c>
      <c r="M305" s="513">
        <v>2030</v>
      </c>
      <c r="N305" s="514">
        <v>5126926</v>
      </c>
      <c r="O305" s="515">
        <v>44620</v>
      </c>
      <c r="P305" s="515">
        <v>44620</v>
      </c>
      <c r="Q305" s="516">
        <v>0</v>
      </c>
    </row>
    <row r="306" spans="1:17" ht="16.5">
      <c r="A306" s="9">
        <v>2022</v>
      </c>
      <c r="B306" s="10" t="s">
        <v>748</v>
      </c>
      <c r="C306" s="511" t="s">
        <v>749</v>
      </c>
      <c r="D306" s="512">
        <v>218000</v>
      </c>
      <c r="E306" s="512">
        <v>0</v>
      </c>
      <c r="F306" s="512"/>
      <c r="G306" s="512">
        <v>22100</v>
      </c>
      <c r="H306" s="512" t="s">
        <v>271</v>
      </c>
      <c r="I306" s="512"/>
      <c r="J306" s="512" t="s">
        <v>200</v>
      </c>
      <c r="K306" s="512" t="b">
        <v>0</v>
      </c>
      <c r="L306" s="512">
        <v>6</v>
      </c>
      <c r="M306" s="513">
        <v>2028</v>
      </c>
      <c r="N306" s="514">
        <v>4146159</v>
      </c>
      <c r="O306" s="515">
        <v>44620</v>
      </c>
      <c r="P306" s="515">
        <v>44620</v>
      </c>
      <c r="Q306" s="516">
        <v>0</v>
      </c>
    </row>
    <row r="307" spans="1:17" ht="16.5">
      <c r="A307" s="9">
        <v>2022</v>
      </c>
      <c r="B307" s="10" t="s">
        <v>748</v>
      </c>
      <c r="C307" s="511" t="s">
        <v>749</v>
      </c>
      <c r="D307" s="512">
        <v>218000</v>
      </c>
      <c r="E307" s="512">
        <v>0</v>
      </c>
      <c r="F307" s="512"/>
      <c r="G307" s="512">
        <v>100000</v>
      </c>
      <c r="H307" s="512">
        <v>10</v>
      </c>
      <c r="I307" s="512"/>
      <c r="J307" s="512" t="s">
        <v>244</v>
      </c>
      <c r="K307" s="512" t="b">
        <v>0</v>
      </c>
      <c r="L307" s="512">
        <v>10</v>
      </c>
      <c r="M307" s="513">
        <v>2032</v>
      </c>
      <c r="N307" s="514">
        <v>0</v>
      </c>
      <c r="O307" s="515">
        <v>44620</v>
      </c>
      <c r="P307" s="515">
        <v>44620</v>
      </c>
      <c r="Q307" s="516">
        <v>0</v>
      </c>
    </row>
    <row r="308" spans="1:17" ht="16.5">
      <c r="A308" s="9">
        <v>2022</v>
      </c>
      <c r="B308" s="10" t="s">
        <v>748</v>
      </c>
      <c r="C308" s="511" t="s">
        <v>749</v>
      </c>
      <c r="D308" s="512">
        <v>218000</v>
      </c>
      <c r="E308" s="512">
        <v>0</v>
      </c>
      <c r="F308" s="512"/>
      <c r="G308" s="512">
        <v>100000</v>
      </c>
      <c r="H308" s="512">
        <v>10</v>
      </c>
      <c r="I308" s="512"/>
      <c r="J308" s="512" t="s">
        <v>244</v>
      </c>
      <c r="K308" s="512" t="b">
        <v>0</v>
      </c>
      <c r="L308" s="512">
        <v>0</v>
      </c>
      <c r="M308" s="513">
        <v>2022</v>
      </c>
      <c r="N308" s="514">
        <v>0</v>
      </c>
      <c r="O308" s="515">
        <v>44620</v>
      </c>
      <c r="P308" s="515">
        <v>44620</v>
      </c>
      <c r="Q308" s="516">
        <v>0</v>
      </c>
    </row>
    <row r="309" spans="1:17" ht="16.5">
      <c r="A309" s="9">
        <v>2022</v>
      </c>
      <c r="B309" s="10" t="s">
        <v>748</v>
      </c>
      <c r="C309" s="511" t="s">
        <v>749</v>
      </c>
      <c r="D309" s="512">
        <v>218000</v>
      </c>
      <c r="E309" s="512">
        <v>0</v>
      </c>
      <c r="F309" s="512"/>
      <c r="G309" s="512">
        <v>100000</v>
      </c>
      <c r="H309" s="512">
        <v>10</v>
      </c>
      <c r="I309" s="512"/>
      <c r="J309" s="512" t="s">
        <v>244</v>
      </c>
      <c r="K309" s="512" t="b">
        <v>0</v>
      </c>
      <c r="L309" s="512">
        <v>2</v>
      </c>
      <c r="M309" s="513">
        <v>2024</v>
      </c>
      <c r="N309" s="514">
        <v>0</v>
      </c>
      <c r="O309" s="515">
        <v>44620</v>
      </c>
      <c r="P309" s="515">
        <v>44620</v>
      </c>
      <c r="Q309" s="516">
        <v>0</v>
      </c>
    </row>
    <row r="310" spans="1:17" ht="16.5">
      <c r="A310" s="9">
        <v>2022</v>
      </c>
      <c r="B310" s="10" t="s">
        <v>748</v>
      </c>
      <c r="C310" s="511" t="s">
        <v>749</v>
      </c>
      <c r="D310" s="512">
        <v>218000</v>
      </c>
      <c r="E310" s="512">
        <v>0</v>
      </c>
      <c r="F310" s="512"/>
      <c r="G310" s="512">
        <v>100000</v>
      </c>
      <c r="H310" s="512">
        <v>10</v>
      </c>
      <c r="I310" s="512"/>
      <c r="J310" s="512" t="s">
        <v>244</v>
      </c>
      <c r="K310" s="512" t="b">
        <v>0</v>
      </c>
      <c r="L310" s="512">
        <v>5</v>
      </c>
      <c r="M310" s="513">
        <v>2027</v>
      </c>
      <c r="N310" s="514">
        <v>0</v>
      </c>
      <c r="O310" s="515">
        <v>44620</v>
      </c>
      <c r="P310" s="515">
        <v>44620</v>
      </c>
      <c r="Q310" s="516">
        <v>0</v>
      </c>
    </row>
    <row r="311" spans="1:17" ht="16.5">
      <c r="A311" s="9">
        <v>2022</v>
      </c>
      <c r="B311" s="10" t="s">
        <v>748</v>
      </c>
      <c r="C311" s="511" t="s">
        <v>749</v>
      </c>
      <c r="D311" s="512">
        <v>218000</v>
      </c>
      <c r="E311" s="512">
        <v>0</v>
      </c>
      <c r="F311" s="512"/>
      <c r="G311" s="512">
        <v>100000</v>
      </c>
      <c r="H311" s="512">
        <v>10</v>
      </c>
      <c r="I311" s="512"/>
      <c r="J311" s="512" t="s">
        <v>244</v>
      </c>
      <c r="K311" s="512" t="b">
        <v>0</v>
      </c>
      <c r="L311" s="512">
        <v>9</v>
      </c>
      <c r="M311" s="513">
        <v>2031</v>
      </c>
      <c r="N311" s="514">
        <v>0</v>
      </c>
      <c r="O311" s="515">
        <v>44620</v>
      </c>
      <c r="P311" s="515">
        <v>44620</v>
      </c>
      <c r="Q311" s="516">
        <v>0</v>
      </c>
    </row>
    <row r="312" spans="1:17" ht="16.5">
      <c r="A312" s="9">
        <v>2022</v>
      </c>
      <c r="B312" s="10" t="s">
        <v>748</v>
      </c>
      <c r="C312" s="511" t="s">
        <v>749</v>
      </c>
      <c r="D312" s="512">
        <v>218000</v>
      </c>
      <c r="E312" s="512">
        <v>0</v>
      </c>
      <c r="F312" s="512"/>
      <c r="G312" s="512">
        <v>100000</v>
      </c>
      <c r="H312" s="512">
        <v>10</v>
      </c>
      <c r="I312" s="512"/>
      <c r="J312" s="512" t="s">
        <v>244</v>
      </c>
      <c r="K312" s="512" t="b">
        <v>0</v>
      </c>
      <c r="L312" s="512">
        <v>1</v>
      </c>
      <c r="M312" s="513">
        <v>2023</v>
      </c>
      <c r="N312" s="514">
        <v>0</v>
      </c>
      <c r="O312" s="515">
        <v>44620</v>
      </c>
      <c r="P312" s="515">
        <v>44620</v>
      </c>
      <c r="Q312" s="516">
        <v>0</v>
      </c>
    </row>
    <row r="313" spans="1:17" ht="16.5">
      <c r="A313" s="9">
        <v>2022</v>
      </c>
      <c r="B313" s="10" t="s">
        <v>748</v>
      </c>
      <c r="C313" s="511" t="s">
        <v>749</v>
      </c>
      <c r="D313" s="512">
        <v>218000</v>
      </c>
      <c r="E313" s="512">
        <v>0</v>
      </c>
      <c r="F313" s="512"/>
      <c r="G313" s="512">
        <v>100000</v>
      </c>
      <c r="H313" s="512">
        <v>10</v>
      </c>
      <c r="I313" s="512"/>
      <c r="J313" s="512" t="s">
        <v>244</v>
      </c>
      <c r="K313" s="512" t="b">
        <v>0</v>
      </c>
      <c r="L313" s="512">
        <v>3</v>
      </c>
      <c r="M313" s="513">
        <v>2025</v>
      </c>
      <c r="N313" s="514">
        <v>0</v>
      </c>
      <c r="O313" s="515">
        <v>44620</v>
      </c>
      <c r="P313" s="515">
        <v>44620</v>
      </c>
      <c r="Q313" s="516">
        <v>0</v>
      </c>
    </row>
    <row r="314" spans="1:17" ht="16.5">
      <c r="A314" s="9">
        <v>2022</v>
      </c>
      <c r="B314" s="10" t="s">
        <v>748</v>
      </c>
      <c r="C314" s="511" t="s">
        <v>749</v>
      </c>
      <c r="D314" s="512">
        <v>218000</v>
      </c>
      <c r="E314" s="512">
        <v>0</v>
      </c>
      <c r="F314" s="512"/>
      <c r="G314" s="512">
        <v>100000</v>
      </c>
      <c r="H314" s="512">
        <v>10</v>
      </c>
      <c r="I314" s="512"/>
      <c r="J314" s="512" t="s">
        <v>244</v>
      </c>
      <c r="K314" s="512" t="b">
        <v>0</v>
      </c>
      <c r="L314" s="512">
        <v>11</v>
      </c>
      <c r="M314" s="513">
        <v>2033</v>
      </c>
      <c r="N314" s="514">
        <v>0</v>
      </c>
      <c r="O314" s="515">
        <v>44620</v>
      </c>
      <c r="P314" s="515">
        <v>44620</v>
      </c>
      <c r="Q314" s="516">
        <v>0</v>
      </c>
    </row>
    <row r="315" spans="1:17" ht="16.5">
      <c r="A315" s="9">
        <v>2022</v>
      </c>
      <c r="B315" s="10" t="s">
        <v>748</v>
      </c>
      <c r="C315" s="511" t="s">
        <v>749</v>
      </c>
      <c r="D315" s="512">
        <v>218000</v>
      </c>
      <c r="E315" s="512">
        <v>0</v>
      </c>
      <c r="F315" s="512"/>
      <c r="G315" s="512">
        <v>100000</v>
      </c>
      <c r="H315" s="512">
        <v>10</v>
      </c>
      <c r="I315" s="512"/>
      <c r="J315" s="512" t="s">
        <v>244</v>
      </c>
      <c r="K315" s="512" t="b">
        <v>0</v>
      </c>
      <c r="L315" s="512">
        <v>7</v>
      </c>
      <c r="M315" s="513">
        <v>2029</v>
      </c>
      <c r="N315" s="514">
        <v>0</v>
      </c>
      <c r="O315" s="515">
        <v>44620</v>
      </c>
      <c r="P315" s="515">
        <v>44620</v>
      </c>
      <c r="Q315" s="516">
        <v>0</v>
      </c>
    </row>
    <row r="316" spans="1:17" ht="16.5">
      <c r="A316" s="9">
        <v>2022</v>
      </c>
      <c r="B316" s="10" t="s">
        <v>748</v>
      </c>
      <c r="C316" s="511" t="s">
        <v>749</v>
      </c>
      <c r="D316" s="512">
        <v>218000</v>
      </c>
      <c r="E316" s="512">
        <v>0</v>
      </c>
      <c r="F316" s="512"/>
      <c r="G316" s="512">
        <v>100000</v>
      </c>
      <c r="H316" s="512">
        <v>10</v>
      </c>
      <c r="I316" s="512"/>
      <c r="J316" s="512" t="s">
        <v>244</v>
      </c>
      <c r="K316" s="512" t="b">
        <v>0</v>
      </c>
      <c r="L316" s="512">
        <v>4</v>
      </c>
      <c r="M316" s="513">
        <v>2026</v>
      </c>
      <c r="N316" s="514">
        <v>0</v>
      </c>
      <c r="O316" s="515">
        <v>44620</v>
      </c>
      <c r="P316" s="515">
        <v>44620</v>
      </c>
      <c r="Q316" s="516">
        <v>0</v>
      </c>
    </row>
    <row r="317" spans="1:17" ht="16.5">
      <c r="A317" s="9">
        <v>2022</v>
      </c>
      <c r="B317" s="10" t="s">
        <v>748</v>
      </c>
      <c r="C317" s="511" t="s">
        <v>749</v>
      </c>
      <c r="D317" s="512">
        <v>218000</v>
      </c>
      <c r="E317" s="512">
        <v>0</v>
      </c>
      <c r="F317" s="512"/>
      <c r="G317" s="512">
        <v>100000</v>
      </c>
      <c r="H317" s="512">
        <v>10</v>
      </c>
      <c r="I317" s="512"/>
      <c r="J317" s="512" t="s">
        <v>244</v>
      </c>
      <c r="K317" s="512" t="b">
        <v>0</v>
      </c>
      <c r="L317" s="512">
        <v>8</v>
      </c>
      <c r="M317" s="513">
        <v>2030</v>
      </c>
      <c r="N317" s="514">
        <v>0</v>
      </c>
      <c r="O317" s="515">
        <v>44620</v>
      </c>
      <c r="P317" s="515">
        <v>44620</v>
      </c>
      <c r="Q317" s="516">
        <v>0</v>
      </c>
    </row>
    <row r="318" spans="1:17" ht="16.5">
      <c r="A318" s="9">
        <v>2022</v>
      </c>
      <c r="B318" s="10" t="s">
        <v>748</v>
      </c>
      <c r="C318" s="511" t="s">
        <v>749</v>
      </c>
      <c r="D318" s="512">
        <v>218000</v>
      </c>
      <c r="E318" s="512">
        <v>0</v>
      </c>
      <c r="F318" s="512"/>
      <c r="G318" s="512">
        <v>100000</v>
      </c>
      <c r="H318" s="512">
        <v>10</v>
      </c>
      <c r="I318" s="512"/>
      <c r="J318" s="512" t="s">
        <v>244</v>
      </c>
      <c r="K318" s="512" t="b">
        <v>0</v>
      </c>
      <c r="L318" s="512">
        <v>6</v>
      </c>
      <c r="M318" s="513">
        <v>2028</v>
      </c>
      <c r="N318" s="514">
        <v>0</v>
      </c>
      <c r="O318" s="515">
        <v>44620</v>
      </c>
      <c r="P318" s="515">
        <v>44620</v>
      </c>
      <c r="Q318" s="516">
        <v>0</v>
      </c>
    </row>
    <row r="319" spans="1:17" ht="16.5">
      <c r="A319" s="9">
        <v>2022</v>
      </c>
      <c r="B319" s="10" t="s">
        <v>748</v>
      </c>
      <c r="C319" s="511" t="s">
        <v>749</v>
      </c>
      <c r="D319" s="512">
        <v>218000</v>
      </c>
      <c r="E319" s="512">
        <v>0</v>
      </c>
      <c r="F319" s="512"/>
      <c r="G319" s="512">
        <v>41000</v>
      </c>
      <c r="H319" s="512">
        <v>4.0999999999999996</v>
      </c>
      <c r="I319" s="512"/>
      <c r="J319" s="512" t="s">
        <v>203</v>
      </c>
      <c r="K319" s="512" t="b">
        <v>1</v>
      </c>
      <c r="L319" s="512">
        <v>3</v>
      </c>
      <c r="M319" s="513">
        <v>2025</v>
      </c>
      <c r="N319" s="514">
        <v>0</v>
      </c>
      <c r="O319" s="515">
        <v>44620</v>
      </c>
      <c r="P319" s="515">
        <v>44620</v>
      </c>
      <c r="Q319" s="516">
        <v>0</v>
      </c>
    </row>
    <row r="320" spans="1:17" ht="16.5">
      <c r="A320" s="9">
        <v>2022</v>
      </c>
      <c r="B320" s="10" t="s">
        <v>748</v>
      </c>
      <c r="C320" s="511" t="s">
        <v>749</v>
      </c>
      <c r="D320" s="512">
        <v>218000</v>
      </c>
      <c r="E320" s="512">
        <v>0</v>
      </c>
      <c r="F320" s="512"/>
      <c r="G320" s="512">
        <v>41000</v>
      </c>
      <c r="H320" s="512">
        <v>4.0999999999999996</v>
      </c>
      <c r="I320" s="512"/>
      <c r="J320" s="512" t="s">
        <v>203</v>
      </c>
      <c r="K320" s="512" t="b">
        <v>1</v>
      </c>
      <c r="L320" s="512">
        <v>11</v>
      </c>
      <c r="M320" s="513">
        <v>2033</v>
      </c>
      <c r="N320" s="514">
        <v>0</v>
      </c>
      <c r="O320" s="515">
        <v>44620</v>
      </c>
      <c r="P320" s="515">
        <v>44620</v>
      </c>
      <c r="Q320" s="516">
        <v>0</v>
      </c>
    </row>
    <row r="321" spans="1:17" ht="16.5">
      <c r="A321" s="9">
        <v>2022</v>
      </c>
      <c r="B321" s="10" t="s">
        <v>748</v>
      </c>
      <c r="C321" s="511" t="s">
        <v>749</v>
      </c>
      <c r="D321" s="512">
        <v>218000</v>
      </c>
      <c r="E321" s="512">
        <v>0</v>
      </c>
      <c r="F321" s="512"/>
      <c r="G321" s="512">
        <v>41000</v>
      </c>
      <c r="H321" s="512">
        <v>4.0999999999999996</v>
      </c>
      <c r="I321" s="512"/>
      <c r="J321" s="512" t="s">
        <v>203</v>
      </c>
      <c r="K321" s="512" t="b">
        <v>1</v>
      </c>
      <c r="L321" s="512">
        <v>1</v>
      </c>
      <c r="M321" s="513">
        <v>2023</v>
      </c>
      <c r="N321" s="514">
        <v>1000000</v>
      </c>
      <c r="O321" s="515">
        <v>44620</v>
      </c>
      <c r="P321" s="515">
        <v>44620</v>
      </c>
      <c r="Q321" s="516">
        <v>0</v>
      </c>
    </row>
    <row r="322" spans="1:17" ht="16.5">
      <c r="A322" s="9">
        <v>2022</v>
      </c>
      <c r="B322" s="10" t="s">
        <v>748</v>
      </c>
      <c r="C322" s="511" t="s">
        <v>749</v>
      </c>
      <c r="D322" s="512">
        <v>218000</v>
      </c>
      <c r="E322" s="512">
        <v>0</v>
      </c>
      <c r="F322" s="512"/>
      <c r="G322" s="512">
        <v>41000</v>
      </c>
      <c r="H322" s="512">
        <v>4.0999999999999996</v>
      </c>
      <c r="I322" s="512"/>
      <c r="J322" s="512" t="s">
        <v>203</v>
      </c>
      <c r="K322" s="512" t="b">
        <v>1</v>
      </c>
      <c r="L322" s="512">
        <v>0</v>
      </c>
      <c r="M322" s="513">
        <v>2022</v>
      </c>
      <c r="N322" s="514">
        <v>6500000</v>
      </c>
      <c r="O322" s="515">
        <v>44620</v>
      </c>
      <c r="P322" s="515">
        <v>44620</v>
      </c>
      <c r="Q322" s="516">
        <v>0</v>
      </c>
    </row>
    <row r="323" spans="1:17" ht="16.5">
      <c r="A323" s="9">
        <v>2022</v>
      </c>
      <c r="B323" s="10" t="s">
        <v>748</v>
      </c>
      <c r="C323" s="511" t="s">
        <v>749</v>
      </c>
      <c r="D323" s="512">
        <v>218000</v>
      </c>
      <c r="E323" s="512">
        <v>0</v>
      </c>
      <c r="F323" s="512"/>
      <c r="G323" s="512">
        <v>41000</v>
      </c>
      <c r="H323" s="512">
        <v>4.0999999999999996</v>
      </c>
      <c r="I323" s="512"/>
      <c r="J323" s="512" t="s">
        <v>203</v>
      </c>
      <c r="K323" s="512" t="b">
        <v>1</v>
      </c>
      <c r="L323" s="512">
        <v>7</v>
      </c>
      <c r="M323" s="513">
        <v>2029</v>
      </c>
      <c r="N323" s="514">
        <v>0</v>
      </c>
      <c r="O323" s="515">
        <v>44620</v>
      </c>
      <c r="P323" s="515">
        <v>44620</v>
      </c>
      <c r="Q323" s="516">
        <v>0</v>
      </c>
    </row>
    <row r="324" spans="1:17" ht="16.5">
      <c r="A324" s="9">
        <v>2022</v>
      </c>
      <c r="B324" s="10" t="s">
        <v>748</v>
      </c>
      <c r="C324" s="511" t="s">
        <v>749</v>
      </c>
      <c r="D324" s="512">
        <v>218000</v>
      </c>
      <c r="E324" s="512">
        <v>0</v>
      </c>
      <c r="F324" s="512"/>
      <c r="G324" s="512">
        <v>41000</v>
      </c>
      <c r="H324" s="512">
        <v>4.0999999999999996</v>
      </c>
      <c r="I324" s="512"/>
      <c r="J324" s="512" t="s">
        <v>203</v>
      </c>
      <c r="K324" s="512" t="b">
        <v>1</v>
      </c>
      <c r="L324" s="512">
        <v>5</v>
      </c>
      <c r="M324" s="513">
        <v>2027</v>
      </c>
      <c r="N324" s="514">
        <v>0</v>
      </c>
      <c r="O324" s="515">
        <v>44620</v>
      </c>
      <c r="P324" s="515">
        <v>44620</v>
      </c>
      <c r="Q324" s="516">
        <v>0</v>
      </c>
    </row>
    <row r="325" spans="1:17" ht="16.5">
      <c r="A325" s="9">
        <v>2022</v>
      </c>
      <c r="B325" s="10" t="s">
        <v>748</v>
      </c>
      <c r="C325" s="511" t="s">
        <v>749</v>
      </c>
      <c r="D325" s="512">
        <v>218000</v>
      </c>
      <c r="E325" s="512">
        <v>0</v>
      </c>
      <c r="F325" s="512"/>
      <c r="G325" s="512">
        <v>41000</v>
      </c>
      <c r="H325" s="512">
        <v>4.0999999999999996</v>
      </c>
      <c r="I325" s="512"/>
      <c r="J325" s="512" t="s">
        <v>203</v>
      </c>
      <c r="K325" s="512" t="b">
        <v>1</v>
      </c>
      <c r="L325" s="512">
        <v>8</v>
      </c>
      <c r="M325" s="513">
        <v>2030</v>
      </c>
      <c r="N325" s="514">
        <v>0</v>
      </c>
      <c r="O325" s="515">
        <v>44620</v>
      </c>
      <c r="P325" s="515">
        <v>44620</v>
      </c>
      <c r="Q325" s="516">
        <v>0</v>
      </c>
    </row>
    <row r="326" spans="1:17" ht="16.5">
      <c r="A326" s="9">
        <v>2022</v>
      </c>
      <c r="B326" s="10" t="s">
        <v>748</v>
      </c>
      <c r="C326" s="511" t="s">
        <v>749</v>
      </c>
      <c r="D326" s="512">
        <v>218000</v>
      </c>
      <c r="E326" s="512">
        <v>0</v>
      </c>
      <c r="F326" s="512"/>
      <c r="G326" s="512">
        <v>41000</v>
      </c>
      <c r="H326" s="512">
        <v>4.0999999999999996</v>
      </c>
      <c r="I326" s="512"/>
      <c r="J326" s="512" t="s">
        <v>203</v>
      </c>
      <c r="K326" s="512" t="b">
        <v>1</v>
      </c>
      <c r="L326" s="512">
        <v>6</v>
      </c>
      <c r="M326" s="513">
        <v>2028</v>
      </c>
      <c r="N326" s="514">
        <v>0</v>
      </c>
      <c r="O326" s="515">
        <v>44620</v>
      </c>
      <c r="P326" s="515">
        <v>44620</v>
      </c>
      <c r="Q326" s="516">
        <v>0</v>
      </c>
    </row>
    <row r="327" spans="1:17" ht="16.5">
      <c r="A327" s="9">
        <v>2022</v>
      </c>
      <c r="B327" s="10" t="s">
        <v>748</v>
      </c>
      <c r="C327" s="511" t="s">
        <v>749</v>
      </c>
      <c r="D327" s="512">
        <v>218000</v>
      </c>
      <c r="E327" s="512">
        <v>0</v>
      </c>
      <c r="F327" s="512"/>
      <c r="G327" s="512">
        <v>41000</v>
      </c>
      <c r="H327" s="512">
        <v>4.0999999999999996</v>
      </c>
      <c r="I327" s="512"/>
      <c r="J327" s="512" t="s">
        <v>203</v>
      </c>
      <c r="K327" s="512" t="b">
        <v>1</v>
      </c>
      <c r="L327" s="512">
        <v>2</v>
      </c>
      <c r="M327" s="513">
        <v>2024</v>
      </c>
      <c r="N327" s="514">
        <v>0</v>
      </c>
      <c r="O327" s="515">
        <v>44620</v>
      </c>
      <c r="P327" s="515">
        <v>44620</v>
      </c>
      <c r="Q327" s="516">
        <v>0</v>
      </c>
    </row>
    <row r="328" spans="1:17" ht="16.5">
      <c r="A328" s="9">
        <v>2022</v>
      </c>
      <c r="B328" s="10" t="s">
        <v>748</v>
      </c>
      <c r="C328" s="511" t="s">
        <v>749</v>
      </c>
      <c r="D328" s="512">
        <v>218000</v>
      </c>
      <c r="E328" s="512">
        <v>0</v>
      </c>
      <c r="F328" s="512"/>
      <c r="G328" s="512">
        <v>41000</v>
      </c>
      <c r="H328" s="512">
        <v>4.0999999999999996</v>
      </c>
      <c r="I328" s="512"/>
      <c r="J328" s="512" t="s">
        <v>203</v>
      </c>
      <c r="K328" s="512" t="b">
        <v>1</v>
      </c>
      <c r="L328" s="512">
        <v>10</v>
      </c>
      <c r="M328" s="513">
        <v>2032</v>
      </c>
      <c r="N328" s="514">
        <v>0</v>
      </c>
      <c r="O328" s="515">
        <v>44620</v>
      </c>
      <c r="P328" s="515">
        <v>44620</v>
      </c>
      <c r="Q328" s="516">
        <v>0</v>
      </c>
    </row>
    <row r="329" spans="1:17" ht="16.5">
      <c r="A329" s="9">
        <v>2022</v>
      </c>
      <c r="B329" s="10" t="s">
        <v>748</v>
      </c>
      <c r="C329" s="511" t="s">
        <v>749</v>
      </c>
      <c r="D329" s="512">
        <v>218000</v>
      </c>
      <c r="E329" s="512">
        <v>0</v>
      </c>
      <c r="F329" s="512"/>
      <c r="G329" s="512">
        <v>41000</v>
      </c>
      <c r="H329" s="512">
        <v>4.0999999999999996</v>
      </c>
      <c r="I329" s="512"/>
      <c r="J329" s="512" t="s">
        <v>203</v>
      </c>
      <c r="K329" s="512" t="b">
        <v>1</v>
      </c>
      <c r="L329" s="512">
        <v>9</v>
      </c>
      <c r="M329" s="513">
        <v>2031</v>
      </c>
      <c r="N329" s="514">
        <v>0</v>
      </c>
      <c r="O329" s="515">
        <v>44620</v>
      </c>
      <c r="P329" s="515">
        <v>44620</v>
      </c>
      <c r="Q329" s="516">
        <v>0</v>
      </c>
    </row>
    <row r="330" spans="1:17" ht="16.5">
      <c r="A330" s="9">
        <v>2022</v>
      </c>
      <c r="B330" s="10" t="s">
        <v>748</v>
      </c>
      <c r="C330" s="511" t="s">
        <v>749</v>
      </c>
      <c r="D330" s="512">
        <v>218000</v>
      </c>
      <c r="E330" s="512">
        <v>0</v>
      </c>
      <c r="F330" s="512"/>
      <c r="G330" s="512">
        <v>41000</v>
      </c>
      <c r="H330" s="512">
        <v>4.0999999999999996</v>
      </c>
      <c r="I330" s="512"/>
      <c r="J330" s="512" t="s">
        <v>203</v>
      </c>
      <c r="K330" s="512" t="b">
        <v>1</v>
      </c>
      <c r="L330" s="512">
        <v>4</v>
      </c>
      <c r="M330" s="513">
        <v>2026</v>
      </c>
      <c r="N330" s="514">
        <v>0</v>
      </c>
      <c r="O330" s="515">
        <v>44620</v>
      </c>
      <c r="P330" s="515">
        <v>44620</v>
      </c>
      <c r="Q330" s="516">
        <v>0</v>
      </c>
    </row>
    <row r="331" spans="1:17" ht="16.5">
      <c r="A331" s="9">
        <v>2022</v>
      </c>
      <c r="B331" s="10" t="s">
        <v>748</v>
      </c>
      <c r="C331" s="511" t="s">
        <v>749</v>
      </c>
      <c r="D331" s="512">
        <v>218000</v>
      </c>
      <c r="E331" s="512">
        <v>0</v>
      </c>
      <c r="F331" s="512"/>
      <c r="G331" s="512">
        <v>22000</v>
      </c>
      <c r="H331" s="512">
        <v>2.2000000000000002</v>
      </c>
      <c r="I331" s="512"/>
      <c r="J331" s="512" t="s">
        <v>199</v>
      </c>
      <c r="K331" s="512" t="b">
        <v>0</v>
      </c>
      <c r="L331" s="512">
        <v>9</v>
      </c>
      <c r="M331" s="513">
        <v>2031</v>
      </c>
      <c r="N331" s="514">
        <v>5514120</v>
      </c>
      <c r="O331" s="515">
        <v>44620</v>
      </c>
      <c r="P331" s="515">
        <v>44620</v>
      </c>
      <c r="Q331" s="516">
        <v>0</v>
      </c>
    </row>
    <row r="332" spans="1:17" ht="16.5">
      <c r="A332" s="9">
        <v>2022</v>
      </c>
      <c r="B332" s="10" t="s">
        <v>748</v>
      </c>
      <c r="C332" s="511" t="s">
        <v>749</v>
      </c>
      <c r="D332" s="512">
        <v>218000</v>
      </c>
      <c r="E332" s="512">
        <v>0</v>
      </c>
      <c r="F332" s="512"/>
      <c r="G332" s="512">
        <v>22000</v>
      </c>
      <c r="H332" s="512">
        <v>2.2000000000000002</v>
      </c>
      <c r="I332" s="512"/>
      <c r="J332" s="512" t="s">
        <v>199</v>
      </c>
      <c r="K332" s="512" t="b">
        <v>0</v>
      </c>
      <c r="L332" s="512">
        <v>7</v>
      </c>
      <c r="M332" s="513">
        <v>2029</v>
      </c>
      <c r="N332" s="514">
        <v>4690393</v>
      </c>
      <c r="O332" s="515">
        <v>44620</v>
      </c>
      <c r="P332" s="515">
        <v>44620</v>
      </c>
      <c r="Q332" s="516">
        <v>0</v>
      </c>
    </row>
    <row r="333" spans="1:17" ht="16.5">
      <c r="A333" s="9">
        <v>2022</v>
      </c>
      <c r="B333" s="10" t="s">
        <v>748</v>
      </c>
      <c r="C333" s="511" t="s">
        <v>749</v>
      </c>
      <c r="D333" s="512">
        <v>218000</v>
      </c>
      <c r="E333" s="512">
        <v>0</v>
      </c>
      <c r="F333" s="512"/>
      <c r="G333" s="512">
        <v>22000</v>
      </c>
      <c r="H333" s="512">
        <v>2.2000000000000002</v>
      </c>
      <c r="I333" s="512"/>
      <c r="J333" s="512" t="s">
        <v>199</v>
      </c>
      <c r="K333" s="512" t="b">
        <v>0</v>
      </c>
      <c r="L333" s="512">
        <v>3</v>
      </c>
      <c r="M333" s="513">
        <v>2025</v>
      </c>
      <c r="N333" s="514">
        <v>1613533</v>
      </c>
      <c r="O333" s="515">
        <v>44620</v>
      </c>
      <c r="P333" s="515">
        <v>44620</v>
      </c>
      <c r="Q333" s="516">
        <v>0</v>
      </c>
    </row>
    <row r="334" spans="1:17" ht="16.5">
      <c r="A334" s="9">
        <v>2022</v>
      </c>
      <c r="B334" s="10" t="s">
        <v>748</v>
      </c>
      <c r="C334" s="511" t="s">
        <v>749</v>
      </c>
      <c r="D334" s="512">
        <v>218000</v>
      </c>
      <c r="E334" s="512">
        <v>0</v>
      </c>
      <c r="F334" s="512"/>
      <c r="G334" s="512">
        <v>22000</v>
      </c>
      <c r="H334" s="512">
        <v>2.2000000000000002</v>
      </c>
      <c r="I334" s="512"/>
      <c r="J334" s="512" t="s">
        <v>199</v>
      </c>
      <c r="K334" s="512" t="b">
        <v>0</v>
      </c>
      <c r="L334" s="512">
        <v>1</v>
      </c>
      <c r="M334" s="513">
        <v>2023</v>
      </c>
      <c r="N334" s="514">
        <v>23154854</v>
      </c>
      <c r="O334" s="515">
        <v>44620</v>
      </c>
      <c r="P334" s="515">
        <v>44620</v>
      </c>
      <c r="Q334" s="516">
        <v>0</v>
      </c>
    </row>
    <row r="335" spans="1:17" ht="16.5">
      <c r="A335" s="9">
        <v>2022</v>
      </c>
      <c r="B335" s="10" t="s">
        <v>748</v>
      </c>
      <c r="C335" s="511" t="s">
        <v>749</v>
      </c>
      <c r="D335" s="512">
        <v>218000</v>
      </c>
      <c r="E335" s="512">
        <v>0</v>
      </c>
      <c r="F335" s="512"/>
      <c r="G335" s="512">
        <v>22000</v>
      </c>
      <c r="H335" s="512">
        <v>2.2000000000000002</v>
      </c>
      <c r="I335" s="512"/>
      <c r="J335" s="512" t="s">
        <v>199</v>
      </c>
      <c r="K335" s="512" t="b">
        <v>0</v>
      </c>
      <c r="L335" s="512">
        <v>11</v>
      </c>
      <c r="M335" s="513">
        <v>2033</v>
      </c>
      <c r="N335" s="514">
        <v>5415107</v>
      </c>
      <c r="O335" s="515">
        <v>44620</v>
      </c>
      <c r="P335" s="515">
        <v>44620</v>
      </c>
      <c r="Q335" s="516">
        <v>0</v>
      </c>
    </row>
    <row r="336" spans="1:17" ht="16.5">
      <c r="A336" s="9">
        <v>2022</v>
      </c>
      <c r="B336" s="10" t="s">
        <v>748</v>
      </c>
      <c r="C336" s="511" t="s">
        <v>749</v>
      </c>
      <c r="D336" s="512">
        <v>218000</v>
      </c>
      <c r="E336" s="512">
        <v>0</v>
      </c>
      <c r="F336" s="512"/>
      <c r="G336" s="512">
        <v>22000</v>
      </c>
      <c r="H336" s="512">
        <v>2.2000000000000002</v>
      </c>
      <c r="I336" s="512"/>
      <c r="J336" s="512" t="s">
        <v>199</v>
      </c>
      <c r="K336" s="512" t="b">
        <v>0</v>
      </c>
      <c r="L336" s="512">
        <v>0</v>
      </c>
      <c r="M336" s="513">
        <v>2022</v>
      </c>
      <c r="N336" s="514">
        <v>26534888</v>
      </c>
      <c r="O336" s="515">
        <v>44620</v>
      </c>
      <c r="P336" s="515">
        <v>44620</v>
      </c>
      <c r="Q336" s="516">
        <v>0</v>
      </c>
    </row>
    <row r="337" spans="1:17" ht="16.5">
      <c r="A337" s="9">
        <v>2022</v>
      </c>
      <c r="B337" s="10" t="s">
        <v>748</v>
      </c>
      <c r="C337" s="511" t="s">
        <v>749</v>
      </c>
      <c r="D337" s="512">
        <v>218000</v>
      </c>
      <c r="E337" s="512">
        <v>0</v>
      </c>
      <c r="F337" s="512"/>
      <c r="G337" s="512">
        <v>22000</v>
      </c>
      <c r="H337" s="512">
        <v>2.2000000000000002</v>
      </c>
      <c r="I337" s="512"/>
      <c r="J337" s="512" t="s">
        <v>199</v>
      </c>
      <c r="K337" s="512" t="b">
        <v>0</v>
      </c>
      <c r="L337" s="512">
        <v>6</v>
      </c>
      <c r="M337" s="513">
        <v>2028</v>
      </c>
      <c r="N337" s="514">
        <v>4146159</v>
      </c>
      <c r="O337" s="515">
        <v>44620</v>
      </c>
      <c r="P337" s="515">
        <v>44620</v>
      </c>
      <c r="Q337" s="516">
        <v>0</v>
      </c>
    </row>
    <row r="338" spans="1:17" ht="16.5">
      <c r="A338" s="9">
        <v>2022</v>
      </c>
      <c r="B338" s="10" t="s">
        <v>748</v>
      </c>
      <c r="C338" s="511" t="s">
        <v>749</v>
      </c>
      <c r="D338" s="512">
        <v>218000</v>
      </c>
      <c r="E338" s="512">
        <v>0</v>
      </c>
      <c r="F338" s="512"/>
      <c r="G338" s="512">
        <v>22000</v>
      </c>
      <c r="H338" s="512">
        <v>2.2000000000000002</v>
      </c>
      <c r="I338" s="512"/>
      <c r="J338" s="512" t="s">
        <v>199</v>
      </c>
      <c r="K338" s="512" t="b">
        <v>0</v>
      </c>
      <c r="L338" s="512">
        <v>5</v>
      </c>
      <c r="M338" s="513">
        <v>2027</v>
      </c>
      <c r="N338" s="514">
        <v>2998543</v>
      </c>
      <c r="O338" s="515">
        <v>44620</v>
      </c>
      <c r="P338" s="515">
        <v>44620</v>
      </c>
      <c r="Q338" s="516">
        <v>0</v>
      </c>
    </row>
    <row r="339" spans="1:17" ht="16.5">
      <c r="A339" s="9">
        <v>2022</v>
      </c>
      <c r="B339" s="10" t="s">
        <v>748</v>
      </c>
      <c r="C339" s="511" t="s">
        <v>749</v>
      </c>
      <c r="D339" s="512">
        <v>218000</v>
      </c>
      <c r="E339" s="512">
        <v>0</v>
      </c>
      <c r="F339" s="512"/>
      <c r="G339" s="512">
        <v>22000</v>
      </c>
      <c r="H339" s="512">
        <v>2.2000000000000002</v>
      </c>
      <c r="I339" s="512"/>
      <c r="J339" s="512" t="s">
        <v>199</v>
      </c>
      <c r="K339" s="512" t="b">
        <v>0</v>
      </c>
      <c r="L339" s="512">
        <v>10</v>
      </c>
      <c r="M339" s="513">
        <v>2032</v>
      </c>
      <c r="N339" s="514">
        <v>5111826</v>
      </c>
      <c r="O339" s="515">
        <v>44620</v>
      </c>
      <c r="P339" s="515">
        <v>44620</v>
      </c>
      <c r="Q339" s="516">
        <v>0</v>
      </c>
    </row>
    <row r="340" spans="1:17" ht="16.5">
      <c r="A340" s="9">
        <v>2022</v>
      </c>
      <c r="B340" s="10" t="s">
        <v>748</v>
      </c>
      <c r="C340" s="511" t="s">
        <v>749</v>
      </c>
      <c r="D340" s="512">
        <v>218000</v>
      </c>
      <c r="E340" s="512">
        <v>0</v>
      </c>
      <c r="F340" s="512"/>
      <c r="G340" s="512">
        <v>22000</v>
      </c>
      <c r="H340" s="512">
        <v>2.2000000000000002</v>
      </c>
      <c r="I340" s="512"/>
      <c r="J340" s="512" t="s">
        <v>199</v>
      </c>
      <c r="K340" s="512" t="b">
        <v>0</v>
      </c>
      <c r="L340" s="512">
        <v>4</v>
      </c>
      <c r="M340" s="513">
        <v>2026</v>
      </c>
      <c r="N340" s="514">
        <v>2316905</v>
      </c>
      <c r="O340" s="515">
        <v>44620</v>
      </c>
      <c r="P340" s="515">
        <v>44620</v>
      </c>
      <c r="Q340" s="516">
        <v>0</v>
      </c>
    </row>
    <row r="341" spans="1:17" ht="16.5">
      <c r="A341" s="9">
        <v>2022</v>
      </c>
      <c r="B341" s="10" t="s">
        <v>748</v>
      </c>
      <c r="C341" s="511" t="s">
        <v>749</v>
      </c>
      <c r="D341" s="512">
        <v>218000</v>
      </c>
      <c r="E341" s="512">
        <v>0</v>
      </c>
      <c r="F341" s="512"/>
      <c r="G341" s="512">
        <v>22000</v>
      </c>
      <c r="H341" s="512">
        <v>2.2000000000000002</v>
      </c>
      <c r="I341" s="512"/>
      <c r="J341" s="512" t="s">
        <v>199</v>
      </c>
      <c r="K341" s="512" t="b">
        <v>0</v>
      </c>
      <c r="L341" s="512">
        <v>2</v>
      </c>
      <c r="M341" s="513">
        <v>2024</v>
      </c>
      <c r="N341" s="514">
        <v>1030284</v>
      </c>
      <c r="O341" s="515">
        <v>44620</v>
      </c>
      <c r="P341" s="515">
        <v>44620</v>
      </c>
      <c r="Q341" s="516">
        <v>0</v>
      </c>
    </row>
    <row r="342" spans="1:17" ht="16.5">
      <c r="A342" s="9">
        <v>2022</v>
      </c>
      <c r="B342" s="10" t="s">
        <v>748</v>
      </c>
      <c r="C342" s="511" t="s">
        <v>749</v>
      </c>
      <c r="D342" s="512">
        <v>218000</v>
      </c>
      <c r="E342" s="512">
        <v>0</v>
      </c>
      <c r="F342" s="512"/>
      <c r="G342" s="512">
        <v>22000</v>
      </c>
      <c r="H342" s="512">
        <v>2.2000000000000002</v>
      </c>
      <c r="I342" s="512"/>
      <c r="J342" s="512" t="s">
        <v>199</v>
      </c>
      <c r="K342" s="512" t="b">
        <v>0</v>
      </c>
      <c r="L342" s="512">
        <v>8</v>
      </c>
      <c r="M342" s="513">
        <v>2030</v>
      </c>
      <c r="N342" s="514">
        <v>5126926</v>
      </c>
      <c r="O342" s="515">
        <v>44620</v>
      </c>
      <c r="P342" s="515">
        <v>44620</v>
      </c>
      <c r="Q342" s="516">
        <v>0</v>
      </c>
    </row>
    <row r="343" spans="1:17" ht="16.5">
      <c r="A343" s="9">
        <v>2022</v>
      </c>
      <c r="B343" s="10" t="s">
        <v>748</v>
      </c>
      <c r="C343" s="511" t="s">
        <v>749</v>
      </c>
      <c r="D343" s="512">
        <v>218000</v>
      </c>
      <c r="E343" s="512">
        <v>0</v>
      </c>
      <c r="F343" s="512"/>
      <c r="G343" s="512">
        <v>51140</v>
      </c>
      <c r="H343" s="512" t="s">
        <v>583</v>
      </c>
      <c r="I343" s="512"/>
      <c r="J343" s="512" t="s">
        <v>762</v>
      </c>
      <c r="K343" s="512" t="b">
        <v>1</v>
      </c>
      <c r="L343" s="512">
        <v>10</v>
      </c>
      <c r="M343" s="513">
        <v>2032</v>
      </c>
      <c r="N343" s="514">
        <v>0</v>
      </c>
      <c r="O343" s="515">
        <v>44620</v>
      </c>
      <c r="P343" s="515">
        <v>44620</v>
      </c>
      <c r="Q343" s="516">
        <v>0</v>
      </c>
    </row>
    <row r="344" spans="1:17" ht="16.5">
      <c r="A344" s="9">
        <v>2022</v>
      </c>
      <c r="B344" s="10" t="s">
        <v>748</v>
      </c>
      <c r="C344" s="511" t="s">
        <v>749</v>
      </c>
      <c r="D344" s="512">
        <v>218000</v>
      </c>
      <c r="E344" s="512">
        <v>0</v>
      </c>
      <c r="F344" s="512"/>
      <c r="G344" s="512">
        <v>51140</v>
      </c>
      <c r="H344" s="512" t="s">
        <v>583</v>
      </c>
      <c r="I344" s="512"/>
      <c r="J344" s="512" t="s">
        <v>762</v>
      </c>
      <c r="K344" s="512" t="b">
        <v>1</v>
      </c>
      <c r="L344" s="512">
        <v>8</v>
      </c>
      <c r="M344" s="513">
        <v>2030</v>
      </c>
      <c r="N344" s="514">
        <v>0</v>
      </c>
      <c r="O344" s="515">
        <v>44620</v>
      </c>
      <c r="P344" s="515">
        <v>44620</v>
      </c>
      <c r="Q344" s="516">
        <v>0</v>
      </c>
    </row>
    <row r="345" spans="1:17" ht="16.5">
      <c r="A345" s="9">
        <v>2022</v>
      </c>
      <c r="B345" s="10" t="s">
        <v>748</v>
      </c>
      <c r="C345" s="511" t="s">
        <v>749</v>
      </c>
      <c r="D345" s="512">
        <v>218000</v>
      </c>
      <c r="E345" s="512">
        <v>0</v>
      </c>
      <c r="F345" s="512"/>
      <c r="G345" s="512">
        <v>51140</v>
      </c>
      <c r="H345" s="512" t="s">
        <v>583</v>
      </c>
      <c r="I345" s="512"/>
      <c r="J345" s="512" t="s">
        <v>762</v>
      </c>
      <c r="K345" s="512" t="b">
        <v>1</v>
      </c>
      <c r="L345" s="512">
        <v>7</v>
      </c>
      <c r="M345" s="513">
        <v>2029</v>
      </c>
      <c r="N345" s="514">
        <v>0</v>
      </c>
      <c r="O345" s="515">
        <v>44620</v>
      </c>
      <c r="P345" s="515">
        <v>44620</v>
      </c>
      <c r="Q345" s="516">
        <v>0</v>
      </c>
    </row>
    <row r="346" spans="1:17" ht="16.5">
      <c r="A346" s="9">
        <v>2022</v>
      </c>
      <c r="B346" s="10" t="s">
        <v>748</v>
      </c>
      <c r="C346" s="511" t="s">
        <v>749</v>
      </c>
      <c r="D346" s="512">
        <v>218000</v>
      </c>
      <c r="E346" s="512">
        <v>0</v>
      </c>
      <c r="F346" s="512"/>
      <c r="G346" s="512">
        <v>51140</v>
      </c>
      <c r="H346" s="512" t="s">
        <v>583</v>
      </c>
      <c r="I346" s="512"/>
      <c r="J346" s="512" t="s">
        <v>762</v>
      </c>
      <c r="K346" s="512" t="b">
        <v>1</v>
      </c>
      <c r="L346" s="512">
        <v>11</v>
      </c>
      <c r="M346" s="513">
        <v>2033</v>
      </c>
      <c r="N346" s="514">
        <v>0</v>
      </c>
      <c r="O346" s="515">
        <v>44620</v>
      </c>
      <c r="P346" s="515">
        <v>44620</v>
      </c>
      <c r="Q346" s="516">
        <v>0</v>
      </c>
    </row>
    <row r="347" spans="1:17" ht="16.5">
      <c r="A347" s="9">
        <v>2022</v>
      </c>
      <c r="B347" s="10" t="s">
        <v>748</v>
      </c>
      <c r="C347" s="511" t="s">
        <v>749</v>
      </c>
      <c r="D347" s="512">
        <v>218000</v>
      </c>
      <c r="E347" s="512">
        <v>0</v>
      </c>
      <c r="F347" s="512"/>
      <c r="G347" s="512">
        <v>51140</v>
      </c>
      <c r="H347" s="512" t="s">
        <v>583</v>
      </c>
      <c r="I347" s="512"/>
      <c r="J347" s="512" t="s">
        <v>762</v>
      </c>
      <c r="K347" s="512" t="b">
        <v>1</v>
      </c>
      <c r="L347" s="512">
        <v>6</v>
      </c>
      <c r="M347" s="513">
        <v>2028</v>
      </c>
      <c r="N347" s="514">
        <v>0</v>
      </c>
      <c r="O347" s="515">
        <v>44620</v>
      </c>
      <c r="P347" s="515">
        <v>44620</v>
      </c>
      <c r="Q347" s="516">
        <v>0</v>
      </c>
    </row>
    <row r="348" spans="1:17" ht="16.5">
      <c r="A348" s="9">
        <v>2022</v>
      </c>
      <c r="B348" s="10" t="s">
        <v>748</v>
      </c>
      <c r="C348" s="511" t="s">
        <v>749</v>
      </c>
      <c r="D348" s="512">
        <v>218000</v>
      </c>
      <c r="E348" s="512">
        <v>0</v>
      </c>
      <c r="F348" s="512"/>
      <c r="G348" s="512">
        <v>51140</v>
      </c>
      <c r="H348" s="512" t="s">
        <v>583</v>
      </c>
      <c r="I348" s="512"/>
      <c r="J348" s="512" t="s">
        <v>762</v>
      </c>
      <c r="K348" s="512" t="b">
        <v>1</v>
      </c>
      <c r="L348" s="512">
        <v>2</v>
      </c>
      <c r="M348" s="513">
        <v>2024</v>
      </c>
      <c r="N348" s="514">
        <v>0</v>
      </c>
      <c r="O348" s="515">
        <v>44620</v>
      </c>
      <c r="P348" s="515">
        <v>44620</v>
      </c>
      <c r="Q348" s="516">
        <v>0</v>
      </c>
    </row>
    <row r="349" spans="1:17" ht="16.5">
      <c r="A349" s="9">
        <v>2022</v>
      </c>
      <c r="B349" s="10" t="s">
        <v>748</v>
      </c>
      <c r="C349" s="511" t="s">
        <v>749</v>
      </c>
      <c r="D349" s="512">
        <v>218000</v>
      </c>
      <c r="E349" s="512">
        <v>0</v>
      </c>
      <c r="F349" s="512"/>
      <c r="G349" s="512">
        <v>51140</v>
      </c>
      <c r="H349" s="512" t="s">
        <v>583</v>
      </c>
      <c r="I349" s="512"/>
      <c r="J349" s="512" t="s">
        <v>762</v>
      </c>
      <c r="K349" s="512" t="b">
        <v>1</v>
      </c>
      <c r="L349" s="512">
        <v>5</v>
      </c>
      <c r="M349" s="513">
        <v>2027</v>
      </c>
      <c r="N349" s="514">
        <v>0</v>
      </c>
      <c r="O349" s="515">
        <v>44620</v>
      </c>
      <c r="P349" s="515">
        <v>44620</v>
      </c>
      <c r="Q349" s="516">
        <v>0</v>
      </c>
    </row>
    <row r="350" spans="1:17" ht="16.5">
      <c r="A350" s="9">
        <v>2022</v>
      </c>
      <c r="B350" s="10" t="s">
        <v>748</v>
      </c>
      <c r="C350" s="511" t="s">
        <v>749</v>
      </c>
      <c r="D350" s="512">
        <v>218000</v>
      </c>
      <c r="E350" s="512">
        <v>0</v>
      </c>
      <c r="F350" s="512"/>
      <c r="G350" s="512">
        <v>51140</v>
      </c>
      <c r="H350" s="512" t="s">
        <v>583</v>
      </c>
      <c r="I350" s="512"/>
      <c r="J350" s="512" t="s">
        <v>762</v>
      </c>
      <c r="K350" s="512" t="b">
        <v>1</v>
      </c>
      <c r="L350" s="512">
        <v>1</v>
      </c>
      <c r="M350" s="513">
        <v>2023</v>
      </c>
      <c r="N350" s="514">
        <v>0</v>
      </c>
      <c r="O350" s="515">
        <v>44620</v>
      </c>
      <c r="P350" s="515">
        <v>44620</v>
      </c>
      <c r="Q350" s="516">
        <v>0</v>
      </c>
    </row>
    <row r="351" spans="1:17" ht="16.5">
      <c r="A351" s="9">
        <v>2022</v>
      </c>
      <c r="B351" s="10" t="s">
        <v>748</v>
      </c>
      <c r="C351" s="511" t="s">
        <v>749</v>
      </c>
      <c r="D351" s="512">
        <v>218000</v>
      </c>
      <c r="E351" s="512">
        <v>0</v>
      </c>
      <c r="F351" s="512"/>
      <c r="G351" s="512">
        <v>51140</v>
      </c>
      <c r="H351" s="512" t="s">
        <v>583</v>
      </c>
      <c r="I351" s="512"/>
      <c r="J351" s="512" t="s">
        <v>762</v>
      </c>
      <c r="K351" s="512" t="b">
        <v>1</v>
      </c>
      <c r="L351" s="512">
        <v>0</v>
      </c>
      <c r="M351" s="513">
        <v>2022</v>
      </c>
      <c r="N351" s="514">
        <v>0</v>
      </c>
      <c r="O351" s="515">
        <v>44620</v>
      </c>
      <c r="P351" s="515">
        <v>44620</v>
      </c>
      <c r="Q351" s="516">
        <v>0</v>
      </c>
    </row>
    <row r="352" spans="1:17" ht="16.5">
      <c r="A352" s="9">
        <v>2022</v>
      </c>
      <c r="B352" s="10" t="s">
        <v>748</v>
      </c>
      <c r="C352" s="511" t="s">
        <v>749</v>
      </c>
      <c r="D352" s="512">
        <v>218000</v>
      </c>
      <c r="E352" s="512">
        <v>0</v>
      </c>
      <c r="F352" s="512"/>
      <c r="G352" s="512">
        <v>51140</v>
      </c>
      <c r="H352" s="512" t="s">
        <v>583</v>
      </c>
      <c r="I352" s="512"/>
      <c r="J352" s="512" t="s">
        <v>762</v>
      </c>
      <c r="K352" s="512" t="b">
        <v>1</v>
      </c>
      <c r="L352" s="512">
        <v>3</v>
      </c>
      <c r="M352" s="513">
        <v>2025</v>
      </c>
      <c r="N352" s="514">
        <v>0</v>
      </c>
      <c r="O352" s="515">
        <v>44620</v>
      </c>
      <c r="P352" s="515">
        <v>44620</v>
      </c>
      <c r="Q352" s="516">
        <v>0</v>
      </c>
    </row>
    <row r="353" spans="1:17" ht="16.5">
      <c r="A353" s="9">
        <v>2022</v>
      </c>
      <c r="B353" s="10" t="s">
        <v>748</v>
      </c>
      <c r="C353" s="511" t="s">
        <v>749</v>
      </c>
      <c r="D353" s="512">
        <v>218000</v>
      </c>
      <c r="E353" s="512">
        <v>0</v>
      </c>
      <c r="F353" s="512"/>
      <c r="G353" s="512">
        <v>51140</v>
      </c>
      <c r="H353" s="512" t="s">
        <v>583</v>
      </c>
      <c r="I353" s="512"/>
      <c r="J353" s="512" t="s">
        <v>762</v>
      </c>
      <c r="K353" s="512" t="b">
        <v>1</v>
      </c>
      <c r="L353" s="512">
        <v>4</v>
      </c>
      <c r="M353" s="513">
        <v>2026</v>
      </c>
      <c r="N353" s="514">
        <v>0</v>
      </c>
      <c r="O353" s="515">
        <v>44620</v>
      </c>
      <c r="P353" s="515">
        <v>44620</v>
      </c>
      <c r="Q353" s="516">
        <v>0</v>
      </c>
    </row>
    <row r="354" spans="1:17" ht="16.5">
      <c r="A354" s="9">
        <v>2022</v>
      </c>
      <c r="B354" s="10" t="s">
        <v>748</v>
      </c>
      <c r="C354" s="511" t="s">
        <v>749</v>
      </c>
      <c r="D354" s="512">
        <v>218000</v>
      </c>
      <c r="E354" s="512">
        <v>0</v>
      </c>
      <c r="F354" s="512"/>
      <c r="G354" s="512">
        <v>51140</v>
      </c>
      <c r="H354" s="512" t="s">
        <v>583</v>
      </c>
      <c r="I354" s="512"/>
      <c r="J354" s="512" t="s">
        <v>762</v>
      </c>
      <c r="K354" s="512" t="b">
        <v>1</v>
      </c>
      <c r="L354" s="512">
        <v>9</v>
      </c>
      <c r="M354" s="513">
        <v>2031</v>
      </c>
      <c r="N354" s="514">
        <v>0</v>
      </c>
      <c r="O354" s="515">
        <v>44620</v>
      </c>
      <c r="P354" s="515">
        <v>44620</v>
      </c>
      <c r="Q354" s="516">
        <v>0</v>
      </c>
    </row>
    <row r="355" spans="1:17" ht="16.5">
      <c r="A355" s="9">
        <v>2022</v>
      </c>
      <c r="B355" s="10" t="s">
        <v>748</v>
      </c>
      <c r="C355" s="511" t="s">
        <v>749</v>
      </c>
      <c r="D355" s="512">
        <v>218000</v>
      </c>
      <c r="E355" s="512">
        <v>0</v>
      </c>
      <c r="F355" s="512"/>
      <c r="G355" s="512">
        <v>21100</v>
      </c>
      <c r="H355" s="512" t="s">
        <v>39</v>
      </c>
      <c r="I355" s="512"/>
      <c r="J355" s="512" t="s">
        <v>193</v>
      </c>
      <c r="K355" s="512" t="b">
        <v>1</v>
      </c>
      <c r="L355" s="512">
        <v>9</v>
      </c>
      <c r="M355" s="513">
        <v>2031</v>
      </c>
      <c r="N355" s="514">
        <v>39143323</v>
      </c>
      <c r="O355" s="515">
        <v>44620</v>
      </c>
      <c r="P355" s="515">
        <v>44620</v>
      </c>
      <c r="Q355" s="516">
        <v>0</v>
      </c>
    </row>
    <row r="356" spans="1:17" ht="16.5">
      <c r="A356" s="9">
        <v>2022</v>
      </c>
      <c r="B356" s="10" t="s">
        <v>748</v>
      </c>
      <c r="C356" s="511" t="s">
        <v>749</v>
      </c>
      <c r="D356" s="512">
        <v>218000</v>
      </c>
      <c r="E356" s="512">
        <v>0</v>
      </c>
      <c r="F356" s="512"/>
      <c r="G356" s="512">
        <v>21100</v>
      </c>
      <c r="H356" s="512" t="s">
        <v>39</v>
      </c>
      <c r="I356" s="512"/>
      <c r="J356" s="512" t="s">
        <v>193</v>
      </c>
      <c r="K356" s="512" t="b">
        <v>1</v>
      </c>
      <c r="L356" s="512">
        <v>2</v>
      </c>
      <c r="M356" s="513">
        <v>2024</v>
      </c>
      <c r="N356" s="514">
        <v>32929917</v>
      </c>
      <c r="O356" s="515">
        <v>44620</v>
      </c>
      <c r="P356" s="515">
        <v>44620</v>
      </c>
      <c r="Q356" s="516">
        <v>0</v>
      </c>
    </row>
    <row r="357" spans="1:17" ht="16.5">
      <c r="A357" s="9">
        <v>2022</v>
      </c>
      <c r="B357" s="10" t="s">
        <v>748</v>
      </c>
      <c r="C357" s="511" t="s">
        <v>749</v>
      </c>
      <c r="D357" s="512">
        <v>218000</v>
      </c>
      <c r="E357" s="512">
        <v>0</v>
      </c>
      <c r="F357" s="512"/>
      <c r="G357" s="512">
        <v>21100</v>
      </c>
      <c r="H357" s="512" t="s">
        <v>39</v>
      </c>
      <c r="I357" s="512"/>
      <c r="J357" s="512" t="s">
        <v>193</v>
      </c>
      <c r="K357" s="512" t="b">
        <v>1</v>
      </c>
      <c r="L357" s="512">
        <v>5</v>
      </c>
      <c r="M357" s="513">
        <v>2027</v>
      </c>
      <c r="N357" s="514">
        <v>35461919</v>
      </c>
      <c r="O357" s="515">
        <v>44620</v>
      </c>
      <c r="P357" s="515">
        <v>44620</v>
      </c>
      <c r="Q357" s="516">
        <v>0</v>
      </c>
    </row>
    <row r="358" spans="1:17" ht="16.5">
      <c r="A358" s="9">
        <v>2022</v>
      </c>
      <c r="B358" s="10" t="s">
        <v>748</v>
      </c>
      <c r="C358" s="511" t="s">
        <v>749</v>
      </c>
      <c r="D358" s="512">
        <v>218000</v>
      </c>
      <c r="E358" s="512">
        <v>0</v>
      </c>
      <c r="F358" s="512"/>
      <c r="G358" s="512">
        <v>21100</v>
      </c>
      <c r="H358" s="512" t="s">
        <v>39</v>
      </c>
      <c r="I358" s="512"/>
      <c r="J358" s="512" t="s">
        <v>193</v>
      </c>
      <c r="K358" s="512" t="b">
        <v>1</v>
      </c>
      <c r="L358" s="512">
        <v>8</v>
      </c>
      <c r="M358" s="513">
        <v>2030</v>
      </c>
      <c r="N358" s="514">
        <v>38188608</v>
      </c>
      <c r="O358" s="515">
        <v>44620</v>
      </c>
      <c r="P358" s="515">
        <v>44620</v>
      </c>
      <c r="Q358" s="516">
        <v>0</v>
      </c>
    </row>
    <row r="359" spans="1:17" ht="16.5">
      <c r="A359" s="9">
        <v>2022</v>
      </c>
      <c r="B359" s="10" t="s">
        <v>748</v>
      </c>
      <c r="C359" s="511" t="s">
        <v>749</v>
      </c>
      <c r="D359" s="512">
        <v>218000</v>
      </c>
      <c r="E359" s="512">
        <v>0</v>
      </c>
      <c r="F359" s="512"/>
      <c r="G359" s="512">
        <v>21100</v>
      </c>
      <c r="H359" s="512" t="s">
        <v>39</v>
      </c>
      <c r="I359" s="512"/>
      <c r="J359" s="512" t="s">
        <v>193</v>
      </c>
      <c r="K359" s="512" t="b">
        <v>1</v>
      </c>
      <c r="L359" s="512">
        <v>0</v>
      </c>
      <c r="M359" s="513">
        <v>2022</v>
      </c>
      <c r="N359" s="514">
        <v>31180276</v>
      </c>
      <c r="O359" s="515">
        <v>44620</v>
      </c>
      <c r="P359" s="515">
        <v>44620</v>
      </c>
      <c r="Q359" s="516">
        <v>0</v>
      </c>
    </row>
    <row r="360" spans="1:17" ht="16.5">
      <c r="A360" s="9">
        <v>2022</v>
      </c>
      <c r="B360" s="10" t="s">
        <v>748</v>
      </c>
      <c r="C360" s="511" t="s">
        <v>749</v>
      </c>
      <c r="D360" s="512">
        <v>218000</v>
      </c>
      <c r="E360" s="512">
        <v>0</v>
      </c>
      <c r="F360" s="512"/>
      <c r="G360" s="512">
        <v>21100</v>
      </c>
      <c r="H360" s="512" t="s">
        <v>39</v>
      </c>
      <c r="I360" s="512"/>
      <c r="J360" s="512" t="s">
        <v>193</v>
      </c>
      <c r="K360" s="512" t="b">
        <v>1</v>
      </c>
      <c r="L360" s="512">
        <v>1</v>
      </c>
      <c r="M360" s="513">
        <v>2023</v>
      </c>
      <c r="N360" s="514">
        <v>32064184</v>
      </c>
      <c r="O360" s="515">
        <v>44620</v>
      </c>
      <c r="P360" s="515">
        <v>44620</v>
      </c>
      <c r="Q360" s="516">
        <v>0</v>
      </c>
    </row>
    <row r="361" spans="1:17" ht="16.5">
      <c r="A361" s="9">
        <v>2022</v>
      </c>
      <c r="B361" s="10" t="s">
        <v>748</v>
      </c>
      <c r="C361" s="511" t="s">
        <v>749</v>
      </c>
      <c r="D361" s="512">
        <v>218000</v>
      </c>
      <c r="E361" s="512">
        <v>0</v>
      </c>
      <c r="F361" s="512"/>
      <c r="G361" s="512">
        <v>21100</v>
      </c>
      <c r="H361" s="512" t="s">
        <v>39</v>
      </c>
      <c r="I361" s="512"/>
      <c r="J361" s="512" t="s">
        <v>193</v>
      </c>
      <c r="K361" s="512" t="b">
        <v>1</v>
      </c>
      <c r="L361" s="512">
        <v>4</v>
      </c>
      <c r="M361" s="513">
        <v>2026</v>
      </c>
      <c r="N361" s="514">
        <v>34596994</v>
      </c>
      <c r="O361" s="515">
        <v>44620</v>
      </c>
      <c r="P361" s="515">
        <v>44620</v>
      </c>
      <c r="Q361" s="516">
        <v>0</v>
      </c>
    </row>
    <row r="362" spans="1:17" ht="16.5">
      <c r="A362" s="9">
        <v>2022</v>
      </c>
      <c r="B362" s="10" t="s">
        <v>748</v>
      </c>
      <c r="C362" s="511" t="s">
        <v>749</v>
      </c>
      <c r="D362" s="512">
        <v>218000</v>
      </c>
      <c r="E362" s="512">
        <v>0</v>
      </c>
      <c r="F362" s="512"/>
      <c r="G362" s="512">
        <v>21100</v>
      </c>
      <c r="H362" s="512" t="s">
        <v>39</v>
      </c>
      <c r="I362" s="512"/>
      <c r="J362" s="512" t="s">
        <v>193</v>
      </c>
      <c r="K362" s="512" t="b">
        <v>1</v>
      </c>
      <c r="L362" s="512">
        <v>3</v>
      </c>
      <c r="M362" s="513">
        <v>2025</v>
      </c>
      <c r="N362" s="514">
        <v>33753165</v>
      </c>
      <c r="O362" s="515">
        <v>44620</v>
      </c>
      <c r="P362" s="515">
        <v>44620</v>
      </c>
      <c r="Q362" s="516">
        <v>0</v>
      </c>
    </row>
    <row r="363" spans="1:17" ht="16.5">
      <c r="A363" s="9">
        <v>2022</v>
      </c>
      <c r="B363" s="10" t="s">
        <v>748</v>
      </c>
      <c r="C363" s="511" t="s">
        <v>749</v>
      </c>
      <c r="D363" s="512">
        <v>218000</v>
      </c>
      <c r="E363" s="512">
        <v>0</v>
      </c>
      <c r="F363" s="512"/>
      <c r="G363" s="512">
        <v>21100</v>
      </c>
      <c r="H363" s="512" t="s">
        <v>39</v>
      </c>
      <c r="I363" s="512"/>
      <c r="J363" s="512" t="s">
        <v>193</v>
      </c>
      <c r="K363" s="512" t="b">
        <v>1</v>
      </c>
      <c r="L363" s="512">
        <v>10</v>
      </c>
      <c r="M363" s="513">
        <v>2032</v>
      </c>
      <c r="N363" s="514">
        <v>40121906</v>
      </c>
      <c r="O363" s="515">
        <v>44620</v>
      </c>
      <c r="P363" s="515">
        <v>44620</v>
      </c>
      <c r="Q363" s="516">
        <v>0</v>
      </c>
    </row>
    <row r="364" spans="1:17" ht="16.5">
      <c r="A364" s="9">
        <v>2022</v>
      </c>
      <c r="B364" s="10" t="s">
        <v>748</v>
      </c>
      <c r="C364" s="511" t="s">
        <v>749</v>
      </c>
      <c r="D364" s="512">
        <v>218000</v>
      </c>
      <c r="E364" s="512">
        <v>0</v>
      </c>
      <c r="F364" s="512"/>
      <c r="G364" s="512">
        <v>21100</v>
      </c>
      <c r="H364" s="512" t="s">
        <v>39</v>
      </c>
      <c r="I364" s="512"/>
      <c r="J364" s="512" t="s">
        <v>193</v>
      </c>
      <c r="K364" s="512" t="b">
        <v>1</v>
      </c>
      <c r="L364" s="512">
        <v>7</v>
      </c>
      <c r="M364" s="513">
        <v>2029</v>
      </c>
      <c r="N364" s="514">
        <v>37257179</v>
      </c>
      <c r="O364" s="515">
        <v>44620</v>
      </c>
      <c r="P364" s="515">
        <v>44620</v>
      </c>
      <c r="Q364" s="516">
        <v>0</v>
      </c>
    </row>
    <row r="365" spans="1:17" ht="16.5">
      <c r="A365" s="9">
        <v>2022</v>
      </c>
      <c r="B365" s="10" t="s">
        <v>748</v>
      </c>
      <c r="C365" s="511" t="s">
        <v>749</v>
      </c>
      <c r="D365" s="512">
        <v>218000</v>
      </c>
      <c r="E365" s="512">
        <v>0</v>
      </c>
      <c r="F365" s="512"/>
      <c r="G365" s="512">
        <v>21100</v>
      </c>
      <c r="H365" s="512" t="s">
        <v>39</v>
      </c>
      <c r="I365" s="512"/>
      <c r="J365" s="512" t="s">
        <v>193</v>
      </c>
      <c r="K365" s="512" t="b">
        <v>1</v>
      </c>
      <c r="L365" s="512">
        <v>11</v>
      </c>
      <c r="M365" s="513">
        <v>2033</v>
      </c>
      <c r="N365" s="514">
        <v>41124954</v>
      </c>
      <c r="O365" s="515">
        <v>44620</v>
      </c>
      <c r="P365" s="515">
        <v>44620</v>
      </c>
      <c r="Q365" s="516">
        <v>0</v>
      </c>
    </row>
    <row r="366" spans="1:17" ht="16.5">
      <c r="A366" s="9">
        <v>2022</v>
      </c>
      <c r="B366" s="10" t="s">
        <v>748</v>
      </c>
      <c r="C366" s="511" t="s">
        <v>749</v>
      </c>
      <c r="D366" s="512">
        <v>218000</v>
      </c>
      <c r="E366" s="512">
        <v>0</v>
      </c>
      <c r="F366" s="512"/>
      <c r="G366" s="512">
        <v>21100</v>
      </c>
      <c r="H366" s="512" t="s">
        <v>39</v>
      </c>
      <c r="I366" s="512"/>
      <c r="J366" s="512" t="s">
        <v>193</v>
      </c>
      <c r="K366" s="512" t="b">
        <v>1</v>
      </c>
      <c r="L366" s="512">
        <v>6</v>
      </c>
      <c r="M366" s="513">
        <v>2028</v>
      </c>
      <c r="N366" s="514">
        <v>36348467</v>
      </c>
      <c r="O366" s="515">
        <v>44620</v>
      </c>
      <c r="P366" s="515">
        <v>44620</v>
      </c>
      <c r="Q366" s="516">
        <v>0</v>
      </c>
    </row>
    <row r="367" spans="1:17" ht="16.5">
      <c r="A367" s="9">
        <v>2022</v>
      </c>
      <c r="B367" s="10" t="s">
        <v>748</v>
      </c>
      <c r="C367" s="511" t="s">
        <v>749</v>
      </c>
      <c r="D367" s="512">
        <v>218000</v>
      </c>
      <c r="E367" s="512">
        <v>0</v>
      </c>
      <c r="F367" s="512"/>
      <c r="G367" s="512">
        <v>21330</v>
      </c>
      <c r="H367" s="512" t="s">
        <v>582</v>
      </c>
      <c r="I367" s="512"/>
      <c r="J367" s="512" t="s">
        <v>763</v>
      </c>
      <c r="K367" s="512" t="b">
        <v>0</v>
      </c>
      <c r="L367" s="512">
        <v>7</v>
      </c>
      <c r="M367" s="513">
        <v>2029</v>
      </c>
      <c r="N367" s="514">
        <v>0</v>
      </c>
      <c r="O367" s="515">
        <v>44620</v>
      </c>
      <c r="P367" s="515">
        <v>44620</v>
      </c>
      <c r="Q367" s="516">
        <v>0</v>
      </c>
    </row>
    <row r="368" spans="1:17" ht="16.5">
      <c r="A368" s="9">
        <v>2022</v>
      </c>
      <c r="B368" s="10" t="s">
        <v>748</v>
      </c>
      <c r="C368" s="511" t="s">
        <v>749</v>
      </c>
      <c r="D368" s="512">
        <v>218000</v>
      </c>
      <c r="E368" s="512">
        <v>0</v>
      </c>
      <c r="F368" s="512"/>
      <c r="G368" s="512">
        <v>21330</v>
      </c>
      <c r="H368" s="512" t="s">
        <v>582</v>
      </c>
      <c r="I368" s="512"/>
      <c r="J368" s="512" t="s">
        <v>763</v>
      </c>
      <c r="K368" s="512" t="b">
        <v>0</v>
      </c>
      <c r="L368" s="512">
        <v>5</v>
      </c>
      <c r="M368" s="513">
        <v>2027</v>
      </c>
      <c r="N368" s="514">
        <v>0</v>
      </c>
      <c r="O368" s="515">
        <v>44620</v>
      </c>
      <c r="P368" s="515">
        <v>44620</v>
      </c>
      <c r="Q368" s="516">
        <v>0</v>
      </c>
    </row>
    <row r="369" spans="1:17" ht="16.5">
      <c r="A369" s="9">
        <v>2022</v>
      </c>
      <c r="B369" s="10" t="s">
        <v>748</v>
      </c>
      <c r="C369" s="511" t="s">
        <v>749</v>
      </c>
      <c r="D369" s="512">
        <v>218000</v>
      </c>
      <c r="E369" s="512">
        <v>0</v>
      </c>
      <c r="F369" s="512"/>
      <c r="G369" s="512">
        <v>21330</v>
      </c>
      <c r="H369" s="512" t="s">
        <v>582</v>
      </c>
      <c r="I369" s="512"/>
      <c r="J369" s="512" t="s">
        <v>763</v>
      </c>
      <c r="K369" s="512" t="b">
        <v>0</v>
      </c>
      <c r="L369" s="512">
        <v>6</v>
      </c>
      <c r="M369" s="513">
        <v>2028</v>
      </c>
      <c r="N369" s="514">
        <v>0</v>
      </c>
      <c r="O369" s="515">
        <v>44620</v>
      </c>
      <c r="P369" s="515">
        <v>44620</v>
      </c>
      <c r="Q369" s="516">
        <v>0</v>
      </c>
    </row>
    <row r="370" spans="1:17" ht="16.5">
      <c r="A370" s="9">
        <v>2022</v>
      </c>
      <c r="B370" s="10" t="s">
        <v>748</v>
      </c>
      <c r="C370" s="511" t="s">
        <v>749</v>
      </c>
      <c r="D370" s="512">
        <v>218000</v>
      </c>
      <c r="E370" s="512">
        <v>0</v>
      </c>
      <c r="F370" s="512"/>
      <c r="G370" s="512">
        <v>21330</v>
      </c>
      <c r="H370" s="512" t="s">
        <v>582</v>
      </c>
      <c r="I370" s="512"/>
      <c r="J370" s="512" t="s">
        <v>763</v>
      </c>
      <c r="K370" s="512" t="b">
        <v>0</v>
      </c>
      <c r="L370" s="512">
        <v>2</v>
      </c>
      <c r="M370" s="513">
        <v>2024</v>
      </c>
      <c r="N370" s="514">
        <v>0</v>
      </c>
      <c r="O370" s="515">
        <v>44620</v>
      </c>
      <c r="P370" s="515">
        <v>44620</v>
      </c>
      <c r="Q370" s="516">
        <v>0</v>
      </c>
    </row>
    <row r="371" spans="1:17" ht="16.5">
      <c r="A371" s="9">
        <v>2022</v>
      </c>
      <c r="B371" s="10" t="s">
        <v>748</v>
      </c>
      <c r="C371" s="511" t="s">
        <v>749</v>
      </c>
      <c r="D371" s="512">
        <v>218000</v>
      </c>
      <c r="E371" s="512">
        <v>0</v>
      </c>
      <c r="F371" s="512"/>
      <c r="G371" s="512">
        <v>21330</v>
      </c>
      <c r="H371" s="512" t="s">
        <v>582</v>
      </c>
      <c r="I371" s="512"/>
      <c r="J371" s="512" t="s">
        <v>763</v>
      </c>
      <c r="K371" s="512" t="b">
        <v>0</v>
      </c>
      <c r="L371" s="512">
        <v>1</v>
      </c>
      <c r="M371" s="513">
        <v>2023</v>
      </c>
      <c r="N371" s="514">
        <v>0</v>
      </c>
      <c r="O371" s="515">
        <v>44620</v>
      </c>
      <c r="P371" s="515">
        <v>44620</v>
      </c>
      <c r="Q371" s="516">
        <v>0</v>
      </c>
    </row>
    <row r="372" spans="1:17" ht="16.5">
      <c r="A372" s="9">
        <v>2022</v>
      </c>
      <c r="B372" s="10" t="s">
        <v>748</v>
      </c>
      <c r="C372" s="511" t="s">
        <v>749</v>
      </c>
      <c r="D372" s="512">
        <v>218000</v>
      </c>
      <c r="E372" s="512">
        <v>0</v>
      </c>
      <c r="F372" s="512"/>
      <c r="G372" s="512">
        <v>21330</v>
      </c>
      <c r="H372" s="512" t="s">
        <v>582</v>
      </c>
      <c r="I372" s="512"/>
      <c r="J372" s="512" t="s">
        <v>763</v>
      </c>
      <c r="K372" s="512" t="b">
        <v>0</v>
      </c>
      <c r="L372" s="512">
        <v>3</v>
      </c>
      <c r="M372" s="513">
        <v>2025</v>
      </c>
      <c r="N372" s="514">
        <v>0</v>
      </c>
      <c r="O372" s="515">
        <v>44620</v>
      </c>
      <c r="P372" s="515">
        <v>44620</v>
      </c>
      <c r="Q372" s="516">
        <v>0</v>
      </c>
    </row>
    <row r="373" spans="1:17" ht="16.5">
      <c r="A373" s="9">
        <v>2022</v>
      </c>
      <c r="B373" s="10" t="s">
        <v>748</v>
      </c>
      <c r="C373" s="511" t="s">
        <v>749</v>
      </c>
      <c r="D373" s="512">
        <v>218000</v>
      </c>
      <c r="E373" s="512">
        <v>0</v>
      </c>
      <c r="F373" s="512"/>
      <c r="G373" s="512">
        <v>21330</v>
      </c>
      <c r="H373" s="512" t="s">
        <v>582</v>
      </c>
      <c r="I373" s="512"/>
      <c r="J373" s="512" t="s">
        <v>763</v>
      </c>
      <c r="K373" s="512" t="b">
        <v>0</v>
      </c>
      <c r="L373" s="512">
        <v>8</v>
      </c>
      <c r="M373" s="513">
        <v>2030</v>
      </c>
      <c r="N373" s="514">
        <v>0</v>
      </c>
      <c r="O373" s="515">
        <v>44620</v>
      </c>
      <c r="P373" s="515">
        <v>44620</v>
      </c>
      <c r="Q373" s="516">
        <v>0</v>
      </c>
    </row>
    <row r="374" spans="1:17" ht="16.5">
      <c r="A374" s="9">
        <v>2022</v>
      </c>
      <c r="B374" s="10" t="s">
        <v>748</v>
      </c>
      <c r="C374" s="511" t="s">
        <v>749</v>
      </c>
      <c r="D374" s="512">
        <v>218000</v>
      </c>
      <c r="E374" s="512">
        <v>0</v>
      </c>
      <c r="F374" s="512"/>
      <c r="G374" s="512">
        <v>21330</v>
      </c>
      <c r="H374" s="512" t="s">
        <v>582</v>
      </c>
      <c r="I374" s="512"/>
      <c r="J374" s="512" t="s">
        <v>763</v>
      </c>
      <c r="K374" s="512" t="b">
        <v>0</v>
      </c>
      <c r="L374" s="512">
        <v>0</v>
      </c>
      <c r="M374" s="513">
        <v>2022</v>
      </c>
      <c r="N374" s="514">
        <v>0</v>
      </c>
      <c r="O374" s="515">
        <v>44620</v>
      </c>
      <c r="P374" s="515">
        <v>44620</v>
      </c>
      <c r="Q374" s="516">
        <v>0</v>
      </c>
    </row>
    <row r="375" spans="1:17" ht="16.5">
      <c r="A375" s="9">
        <v>2022</v>
      </c>
      <c r="B375" s="10" t="s">
        <v>748</v>
      </c>
      <c r="C375" s="511" t="s">
        <v>749</v>
      </c>
      <c r="D375" s="512">
        <v>218000</v>
      </c>
      <c r="E375" s="512">
        <v>0</v>
      </c>
      <c r="F375" s="512"/>
      <c r="G375" s="512">
        <v>21330</v>
      </c>
      <c r="H375" s="512" t="s">
        <v>582</v>
      </c>
      <c r="I375" s="512"/>
      <c r="J375" s="512" t="s">
        <v>763</v>
      </c>
      <c r="K375" s="512" t="b">
        <v>0</v>
      </c>
      <c r="L375" s="512">
        <v>4</v>
      </c>
      <c r="M375" s="513">
        <v>2026</v>
      </c>
      <c r="N375" s="514">
        <v>0</v>
      </c>
      <c r="O375" s="515">
        <v>44620</v>
      </c>
      <c r="P375" s="515">
        <v>44620</v>
      </c>
      <c r="Q375" s="516">
        <v>0</v>
      </c>
    </row>
    <row r="376" spans="1:17" ht="16.5">
      <c r="A376" s="9">
        <v>2022</v>
      </c>
      <c r="B376" s="10" t="s">
        <v>748</v>
      </c>
      <c r="C376" s="511" t="s">
        <v>749</v>
      </c>
      <c r="D376" s="512">
        <v>218000</v>
      </c>
      <c r="E376" s="512">
        <v>0</v>
      </c>
      <c r="F376" s="512"/>
      <c r="G376" s="512">
        <v>21330</v>
      </c>
      <c r="H376" s="512" t="s">
        <v>582</v>
      </c>
      <c r="I376" s="512"/>
      <c r="J376" s="512" t="s">
        <v>763</v>
      </c>
      <c r="K376" s="512" t="b">
        <v>0</v>
      </c>
      <c r="L376" s="512">
        <v>11</v>
      </c>
      <c r="M376" s="513">
        <v>2033</v>
      </c>
      <c r="N376" s="514">
        <v>0</v>
      </c>
      <c r="O376" s="515">
        <v>44620</v>
      </c>
      <c r="P376" s="515">
        <v>44620</v>
      </c>
      <c r="Q376" s="516">
        <v>0</v>
      </c>
    </row>
    <row r="377" spans="1:17" ht="16.5">
      <c r="A377" s="9">
        <v>2022</v>
      </c>
      <c r="B377" s="10" t="s">
        <v>748</v>
      </c>
      <c r="C377" s="511" t="s">
        <v>749</v>
      </c>
      <c r="D377" s="512">
        <v>218000</v>
      </c>
      <c r="E377" s="512">
        <v>0</v>
      </c>
      <c r="F377" s="512"/>
      <c r="G377" s="512">
        <v>21330</v>
      </c>
      <c r="H377" s="512" t="s">
        <v>582</v>
      </c>
      <c r="I377" s="512"/>
      <c r="J377" s="512" t="s">
        <v>763</v>
      </c>
      <c r="K377" s="512" t="b">
        <v>0</v>
      </c>
      <c r="L377" s="512">
        <v>9</v>
      </c>
      <c r="M377" s="513">
        <v>2031</v>
      </c>
      <c r="N377" s="514">
        <v>0</v>
      </c>
      <c r="O377" s="515">
        <v>44620</v>
      </c>
      <c r="P377" s="515">
        <v>44620</v>
      </c>
      <c r="Q377" s="516">
        <v>0</v>
      </c>
    </row>
    <row r="378" spans="1:17" ht="16.5">
      <c r="A378" s="9">
        <v>2022</v>
      </c>
      <c r="B378" s="10" t="s">
        <v>748</v>
      </c>
      <c r="C378" s="511" t="s">
        <v>749</v>
      </c>
      <c r="D378" s="512">
        <v>218000</v>
      </c>
      <c r="E378" s="512">
        <v>0</v>
      </c>
      <c r="F378" s="512"/>
      <c r="G378" s="512">
        <v>21330</v>
      </c>
      <c r="H378" s="512" t="s">
        <v>582</v>
      </c>
      <c r="I378" s="512"/>
      <c r="J378" s="512" t="s">
        <v>763</v>
      </c>
      <c r="K378" s="512" t="b">
        <v>0</v>
      </c>
      <c r="L378" s="512">
        <v>10</v>
      </c>
      <c r="M378" s="513">
        <v>2032</v>
      </c>
      <c r="N378" s="514">
        <v>0</v>
      </c>
      <c r="O378" s="515">
        <v>44620</v>
      </c>
      <c r="P378" s="515">
        <v>44620</v>
      </c>
      <c r="Q378" s="516">
        <v>0</v>
      </c>
    </row>
    <row r="379" spans="1:17" ht="16.5">
      <c r="A379" s="9">
        <v>2022</v>
      </c>
      <c r="B379" s="10" t="s">
        <v>748</v>
      </c>
      <c r="C379" s="511" t="s">
        <v>749</v>
      </c>
      <c r="D379" s="512">
        <v>218000</v>
      </c>
      <c r="E379" s="512">
        <v>0</v>
      </c>
      <c r="F379" s="512"/>
      <c r="G379" s="512">
        <v>72000</v>
      </c>
      <c r="H379" s="512">
        <v>7.2</v>
      </c>
      <c r="I379" s="512"/>
      <c r="J379" s="512" t="s">
        <v>764</v>
      </c>
      <c r="K379" s="512" t="b">
        <v>0</v>
      </c>
      <c r="L379" s="512">
        <v>10</v>
      </c>
      <c r="M379" s="513">
        <v>2032</v>
      </c>
      <c r="N379" s="514">
        <v>6861826</v>
      </c>
      <c r="O379" s="515">
        <v>44620</v>
      </c>
      <c r="P379" s="515">
        <v>44620</v>
      </c>
      <c r="Q379" s="516">
        <v>0</v>
      </c>
    </row>
    <row r="380" spans="1:17" ht="16.5">
      <c r="A380" s="9">
        <v>2022</v>
      </c>
      <c r="B380" s="10" t="s">
        <v>748</v>
      </c>
      <c r="C380" s="511" t="s">
        <v>749</v>
      </c>
      <c r="D380" s="512">
        <v>218000</v>
      </c>
      <c r="E380" s="512">
        <v>0</v>
      </c>
      <c r="F380" s="512"/>
      <c r="G380" s="512">
        <v>72000</v>
      </c>
      <c r="H380" s="512">
        <v>7.2</v>
      </c>
      <c r="I380" s="512"/>
      <c r="J380" s="512" t="s">
        <v>764</v>
      </c>
      <c r="K380" s="512" t="b">
        <v>0</v>
      </c>
      <c r="L380" s="512">
        <v>9</v>
      </c>
      <c r="M380" s="513">
        <v>2031</v>
      </c>
      <c r="N380" s="514">
        <v>6514120</v>
      </c>
      <c r="O380" s="515">
        <v>44620</v>
      </c>
      <c r="P380" s="515">
        <v>44620</v>
      </c>
      <c r="Q380" s="516">
        <v>0</v>
      </c>
    </row>
    <row r="381" spans="1:17" ht="16.5">
      <c r="A381" s="9">
        <v>2022</v>
      </c>
      <c r="B381" s="10" t="s">
        <v>748</v>
      </c>
      <c r="C381" s="511" t="s">
        <v>749</v>
      </c>
      <c r="D381" s="512">
        <v>218000</v>
      </c>
      <c r="E381" s="512">
        <v>0</v>
      </c>
      <c r="F381" s="512"/>
      <c r="G381" s="512">
        <v>72000</v>
      </c>
      <c r="H381" s="512">
        <v>7.2</v>
      </c>
      <c r="I381" s="512"/>
      <c r="J381" s="512" t="s">
        <v>764</v>
      </c>
      <c r="K381" s="512" t="b">
        <v>0</v>
      </c>
      <c r="L381" s="512">
        <v>6</v>
      </c>
      <c r="M381" s="513">
        <v>2028</v>
      </c>
      <c r="N381" s="514">
        <v>5146159</v>
      </c>
      <c r="O381" s="515">
        <v>44620</v>
      </c>
      <c r="P381" s="515">
        <v>44620</v>
      </c>
      <c r="Q381" s="516">
        <v>0</v>
      </c>
    </row>
    <row r="382" spans="1:17" ht="16.5">
      <c r="A382" s="9">
        <v>2022</v>
      </c>
      <c r="B382" s="10" t="s">
        <v>748</v>
      </c>
      <c r="C382" s="511" t="s">
        <v>749</v>
      </c>
      <c r="D382" s="512">
        <v>218000</v>
      </c>
      <c r="E382" s="512">
        <v>0</v>
      </c>
      <c r="F382" s="512"/>
      <c r="G382" s="512">
        <v>72000</v>
      </c>
      <c r="H382" s="512">
        <v>7.2</v>
      </c>
      <c r="I382" s="512"/>
      <c r="J382" s="512" t="s">
        <v>764</v>
      </c>
      <c r="K382" s="512" t="b">
        <v>0</v>
      </c>
      <c r="L382" s="512">
        <v>11</v>
      </c>
      <c r="M382" s="513">
        <v>2033</v>
      </c>
      <c r="N382" s="514">
        <v>7165107</v>
      </c>
      <c r="O382" s="515">
        <v>44620</v>
      </c>
      <c r="P382" s="515">
        <v>44620</v>
      </c>
      <c r="Q382" s="516">
        <v>0</v>
      </c>
    </row>
    <row r="383" spans="1:17" ht="16.5">
      <c r="A383" s="9">
        <v>2022</v>
      </c>
      <c r="B383" s="10" t="s">
        <v>748</v>
      </c>
      <c r="C383" s="511" t="s">
        <v>749</v>
      </c>
      <c r="D383" s="512">
        <v>218000</v>
      </c>
      <c r="E383" s="512">
        <v>0</v>
      </c>
      <c r="F383" s="512"/>
      <c r="G383" s="512">
        <v>72000</v>
      </c>
      <c r="H383" s="512">
        <v>7.2</v>
      </c>
      <c r="I383" s="512"/>
      <c r="J383" s="512" t="s">
        <v>764</v>
      </c>
      <c r="K383" s="512" t="b">
        <v>0</v>
      </c>
      <c r="L383" s="512">
        <v>8</v>
      </c>
      <c r="M383" s="513">
        <v>2030</v>
      </c>
      <c r="N383" s="514">
        <v>6126926</v>
      </c>
      <c r="O383" s="515">
        <v>44620</v>
      </c>
      <c r="P383" s="515">
        <v>44620</v>
      </c>
      <c r="Q383" s="516">
        <v>0</v>
      </c>
    </row>
    <row r="384" spans="1:17" ht="16.5">
      <c r="A384" s="9">
        <v>2022</v>
      </c>
      <c r="B384" s="10" t="s">
        <v>748</v>
      </c>
      <c r="C384" s="511" t="s">
        <v>749</v>
      </c>
      <c r="D384" s="512">
        <v>218000</v>
      </c>
      <c r="E384" s="512">
        <v>0</v>
      </c>
      <c r="F384" s="512"/>
      <c r="G384" s="512">
        <v>72000</v>
      </c>
      <c r="H384" s="512">
        <v>7.2</v>
      </c>
      <c r="I384" s="512"/>
      <c r="J384" s="512" t="s">
        <v>764</v>
      </c>
      <c r="K384" s="512" t="b">
        <v>0</v>
      </c>
      <c r="L384" s="512">
        <v>0</v>
      </c>
      <c r="M384" s="513">
        <v>2022</v>
      </c>
      <c r="N384" s="514">
        <v>9220803</v>
      </c>
      <c r="O384" s="515">
        <v>44620</v>
      </c>
      <c r="P384" s="515">
        <v>44620</v>
      </c>
      <c r="Q384" s="516">
        <v>0</v>
      </c>
    </row>
    <row r="385" spans="1:17" ht="16.5">
      <c r="A385" s="9">
        <v>2022</v>
      </c>
      <c r="B385" s="10" t="s">
        <v>748</v>
      </c>
      <c r="C385" s="511" t="s">
        <v>749</v>
      </c>
      <c r="D385" s="512">
        <v>218000</v>
      </c>
      <c r="E385" s="512">
        <v>0</v>
      </c>
      <c r="F385" s="512"/>
      <c r="G385" s="512">
        <v>72000</v>
      </c>
      <c r="H385" s="512">
        <v>7.2</v>
      </c>
      <c r="I385" s="512"/>
      <c r="J385" s="512" t="s">
        <v>764</v>
      </c>
      <c r="K385" s="512" t="b">
        <v>0</v>
      </c>
      <c r="L385" s="512">
        <v>5</v>
      </c>
      <c r="M385" s="513">
        <v>2027</v>
      </c>
      <c r="N385" s="514">
        <v>4498543</v>
      </c>
      <c r="O385" s="515">
        <v>44620</v>
      </c>
      <c r="P385" s="515">
        <v>44620</v>
      </c>
      <c r="Q385" s="516">
        <v>0</v>
      </c>
    </row>
    <row r="386" spans="1:17" ht="16.5">
      <c r="A386" s="9">
        <v>2022</v>
      </c>
      <c r="B386" s="10" t="s">
        <v>748</v>
      </c>
      <c r="C386" s="511" t="s">
        <v>749</v>
      </c>
      <c r="D386" s="512">
        <v>218000</v>
      </c>
      <c r="E386" s="512">
        <v>0</v>
      </c>
      <c r="F386" s="512"/>
      <c r="G386" s="512">
        <v>72000</v>
      </c>
      <c r="H386" s="512">
        <v>7.2</v>
      </c>
      <c r="I386" s="512"/>
      <c r="J386" s="512" t="s">
        <v>764</v>
      </c>
      <c r="K386" s="512" t="b">
        <v>0</v>
      </c>
      <c r="L386" s="512">
        <v>1</v>
      </c>
      <c r="M386" s="513">
        <v>2023</v>
      </c>
      <c r="N386" s="514">
        <v>1904854</v>
      </c>
      <c r="O386" s="515">
        <v>44620</v>
      </c>
      <c r="P386" s="515">
        <v>44620</v>
      </c>
      <c r="Q386" s="516">
        <v>0</v>
      </c>
    </row>
    <row r="387" spans="1:17" ht="16.5">
      <c r="A387" s="9">
        <v>2022</v>
      </c>
      <c r="B387" s="10" t="s">
        <v>748</v>
      </c>
      <c r="C387" s="511" t="s">
        <v>749</v>
      </c>
      <c r="D387" s="512">
        <v>218000</v>
      </c>
      <c r="E387" s="512">
        <v>0</v>
      </c>
      <c r="F387" s="512"/>
      <c r="G387" s="512">
        <v>72000</v>
      </c>
      <c r="H387" s="512">
        <v>7.2</v>
      </c>
      <c r="I387" s="512"/>
      <c r="J387" s="512" t="s">
        <v>764</v>
      </c>
      <c r="K387" s="512" t="b">
        <v>0</v>
      </c>
      <c r="L387" s="512">
        <v>4</v>
      </c>
      <c r="M387" s="513">
        <v>2026</v>
      </c>
      <c r="N387" s="514">
        <v>3816905</v>
      </c>
      <c r="O387" s="515">
        <v>44620</v>
      </c>
      <c r="P387" s="515">
        <v>44620</v>
      </c>
      <c r="Q387" s="516">
        <v>0</v>
      </c>
    </row>
    <row r="388" spans="1:17" ht="16.5">
      <c r="A388" s="9">
        <v>2022</v>
      </c>
      <c r="B388" s="10" t="s">
        <v>748</v>
      </c>
      <c r="C388" s="511" t="s">
        <v>749</v>
      </c>
      <c r="D388" s="512">
        <v>218000</v>
      </c>
      <c r="E388" s="512">
        <v>0</v>
      </c>
      <c r="F388" s="512"/>
      <c r="G388" s="512">
        <v>72000</v>
      </c>
      <c r="H388" s="512">
        <v>7.2</v>
      </c>
      <c r="I388" s="512"/>
      <c r="J388" s="512" t="s">
        <v>764</v>
      </c>
      <c r="K388" s="512" t="b">
        <v>0</v>
      </c>
      <c r="L388" s="512">
        <v>7</v>
      </c>
      <c r="M388" s="513">
        <v>2029</v>
      </c>
      <c r="N388" s="514">
        <v>5690393</v>
      </c>
      <c r="O388" s="515">
        <v>44620</v>
      </c>
      <c r="P388" s="515">
        <v>44620</v>
      </c>
      <c r="Q388" s="516">
        <v>0</v>
      </c>
    </row>
    <row r="389" spans="1:17" ht="16.5">
      <c r="A389" s="9">
        <v>2022</v>
      </c>
      <c r="B389" s="10" t="s">
        <v>748</v>
      </c>
      <c r="C389" s="511" t="s">
        <v>749</v>
      </c>
      <c r="D389" s="512">
        <v>218000</v>
      </c>
      <c r="E389" s="512">
        <v>0</v>
      </c>
      <c r="F389" s="512"/>
      <c r="G389" s="512">
        <v>72000</v>
      </c>
      <c r="H389" s="512">
        <v>7.2</v>
      </c>
      <c r="I389" s="512"/>
      <c r="J389" s="512" t="s">
        <v>764</v>
      </c>
      <c r="K389" s="512" t="b">
        <v>0</v>
      </c>
      <c r="L389" s="512">
        <v>2</v>
      </c>
      <c r="M389" s="513">
        <v>2024</v>
      </c>
      <c r="N389" s="514">
        <v>2445284</v>
      </c>
      <c r="O389" s="515">
        <v>44620</v>
      </c>
      <c r="P389" s="515">
        <v>44620</v>
      </c>
      <c r="Q389" s="516">
        <v>0</v>
      </c>
    </row>
    <row r="390" spans="1:17" ht="16.5">
      <c r="A390" s="9">
        <v>2022</v>
      </c>
      <c r="B390" s="10" t="s">
        <v>748</v>
      </c>
      <c r="C390" s="511" t="s">
        <v>749</v>
      </c>
      <c r="D390" s="512">
        <v>218000</v>
      </c>
      <c r="E390" s="512">
        <v>0</v>
      </c>
      <c r="F390" s="512"/>
      <c r="G390" s="512">
        <v>72000</v>
      </c>
      <c r="H390" s="512">
        <v>7.2</v>
      </c>
      <c r="I390" s="512"/>
      <c r="J390" s="512" t="s">
        <v>764</v>
      </c>
      <c r="K390" s="512" t="b">
        <v>0</v>
      </c>
      <c r="L390" s="512">
        <v>3</v>
      </c>
      <c r="M390" s="513">
        <v>2025</v>
      </c>
      <c r="N390" s="514">
        <v>3113533</v>
      </c>
      <c r="O390" s="515">
        <v>44620</v>
      </c>
      <c r="P390" s="515">
        <v>44620</v>
      </c>
      <c r="Q390" s="516">
        <v>0</v>
      </c>
    </row>
    <row r="391" spans="1:17" ht="16.5">
      <c r="A391" s="9">
        <v>2022</v>
      </c>
      <c r="B391" s="10" t="s">
        <v>748</v>
      </c>
      <c r="C391" s="511" t="s">
        <v>749</v>
      </c>
      <c r="D391" s="512">
        <v>218000</v>
      </c>
      <c r="E391" s="512">
        <v>0</v>
      </c>
      <c r="F391" s="512"/>
      <c r="G391" s="512">
        <v>92000</v>
      </c>
      <c r="H391" s="512">
        <v>9.1999999999999993</v>
      </c>
      <c r="I391" s="512"/>
      <c r="J391" s="512" t="s">
        <v>237</v>
      </c>
      <c r="K391" s="512" t="b">
        <v>0</v>
      </c>
      <c r="L391" s="512">
        <v>8</v>
      </c>
      <c r="M391" s="513">
        <v>2030</v>
      </c>
      <c r="N391" s="514">
        <v>0</v>
      </c>
      <c r="O391" s="515">
        <v>44620</v>
      </c>
      <c r="P391" s="515">
        <v>44620</v>
      </c>
      <c r="Q391" s="516">
        <v>0</v>
      </c>
    </row>
    <row r="392" spans="1:17" ht="16.5">
      <c r="A392" s="9">
        <v>2022</v>
      </c>
      <c r="B392" s="10" t="s">
        <v>748</v>
      </c>
      <c r="C392" s="511" t="s">
        <v>749</v>
      </c>
      <c r="D392" s="512">
        <v>218000</v>
      </c>
      <c r="E392" s="512">
        <v>0</v>
      </c>
      <c r="F392" s="512"/>
      <c r="G392" s="512">
        <v>92000</v>
      </c>
      <c r="H392" s="512">
        <v>9.1999999999999993</v>
      </c>
      <c r="I392" s="512"/>
      <c r="J392" s="512" t="s">
        <v>237</v>
      </c>
      <c r="K392" s="512" t="b">
        <v>0</v>
      </c>
      <c r="L392" s="512">
        <v>2</v>
      </c>
      <c r="M392" s="513">
        <v>2024</v>
      </c>
      <c r="N392" s="514">
        <v>0</v>
      </c>
      <c r="O392" s="515">
        <v>44620</v>
      </c>
      <c r="P392" s="515">
        <v>44620</v>
      </c>
      <c r="Q392" s="516">
        <v>0</v>
      </c>
    </row>
    <row r="393" spans="1:17" ht="16.5">
      <c r="A393" s="9">
        <v>2022</v>
      </c>
      <c r="B393" s="10" t="s">
        <v>748</v>
      </c>
      <c r="C393" s="511" t="s">
        <v>749</v>
      </c>
      <c r="D393" s="512">
        <v>218000</v>
      </c>
      <c r="E393" s="512">
        <v>0</v>
      </c>
      <c r="F393" s="512"/>
      <c r="G393" s="512">
        <v>92000</v>
      </c>
      <c r="H393" s="512">
        <v>9.1999999999999993</v>
      </c>
      <c r="I393" s="512"/>
      <c r="J393" s="512" t="s">
        <v>237</v>
      </c>
      <c r="K393" s="512" t="b">
        <v>0</v>
      </c>
      <c r="L393" s="512">
        <v>6</v>
      </c>
      <c r="M393" s="513">
        <v>2028</v>
      </c>
      <c r="N393" s="514">
        <v>0</v>
      </c>
      <c r="O393" s="515">
        <v>44620</v>
      </c>
      <c r="P393" s="515">
        <v>44620</v>
      </c>
      <c r="Q393" s="516">
        <v>0</v>
      </c>
    </row>
    <row r="394" spans="1:17" ht="16.5">
      <c r="A394" s="9">
        <v>2022</v>
      </c>
      <c r="B394" s="10" t="s">
        <v>748</v>
      </c>
      <c r="C394" s="511" t="s">
        <v>749</v>
      </c>
      <c r="D394" s="512">
        <v>218000</v>
      </c>
      <c r="E394" s="512">
        <v>0</v>
      </c>
      <c r="F394" s="512"/>
      <c r="G394" s="512">
        <v>92000</v>
      </c>
      <c r="H394" s="512">
        <v>9.1999999999999993</v>
      </c>
      <c r="I394" s="512"/>
      <c r="J394" s="512" t="s">
        <v>237</v>
      </c>
      <c r="K394" s="512" t="b">
        <v>0</v>
      </c>
      <c r="L394" s="512">
        <v>5</v>
      </c>
      <c r="M394" s="513">
        <v>2027</v>
      </c>
      <c r="N394" s="514">
        <v>0</v>
      </c>
      <c r="O394" s="515">
        <v>44620</v>
      </c>
      <c r="P394" s="515">
        <v>44620</v>
      </c>
      <c r="Q394" s="516">
        <v>0</v>
      </c>
    </row>
    <row r="395" spans="1:17" ht="16.5">
      <c r="A395" s="9">
        <v>2022</v>
      </c>
      <c r="B395" s="10" t="s">
        <v>748</v>
      </c>
      <c r="C395" s="511" t="s">
        <v>749</v>
      </c>
      <c r="D395" s="512">
        <v>218000</v>
      </c>
      <c r="E395" s="512">
        <v>0</v>
      </c>
      <c r="F395" s="512"/>
      <c r="G395" s="512">
        <v>92000</v>
      </c>
      <c r="H395" s="512">
        <v>9.1999999999999993</v>
      </c>
      <c r="I395" s="512"/>
      <c r="J395" s="512" t="s">
        <v>237</v>
      </c>
      <c r="K395" s="512" t="b">
        <v>0</v>
      </c>
      <c r="L395" s="512">
        <v>10</v>
      </c>
      <c r="M395" s="513">
        <v>2032</v>
      </c>
      <c r="N395" s="514">
        <v>0</v>
      </c>
      <c r="O395" s="515">
        <v>44620</v>
      </c>
      <c r="P395" s="515">
        <v>44620</v>
      </c>
      <c r="Q395" s="516">
        <v>0</v>
      </c>
    </row>
    <row r="396" spans="1:17" ht="16.5">
      <c r="A396" s="9">
        <v>2022</v>
      </c>
      <c r="B396" s="10" t="s">
        <v>748</v>
      </c>
      <c r="C396" s="511" t="s">
        <v>749</v>
      </c>
      <c r="D396" s="512">
        <v>218000</v>
      </c>
      <c r="E396" s="512">
        <v>0</v>
      </c>
      <c r="F396" s="512"/>
      <c r="G396" s="512">
        <v>92000</v>
      </c>
      <c r="H396" s="512">
        <v>9.1999999999999993</v>
      </c>
      <c r="I396" s="512"/>
      <c r="J396" s="512" t="s">
        <v>237</v>
      </c>
      <c r="K396" s="512" t="b">
        <v>0</v>
      </c>
      <c r="L396" s="512">
        <v>1</v>
      </c>
      <c r="M396" s="513">
        <v>2023</v>
      </c>
      <c r="N396" s="514">
        <v>0</v>
      </c>
      <c r="O396" s="515">
        <v>44620</v>
      </c>
      <c r="P396" s="515">
        <v>44620</v>
      </c>
      <c r="Q396" s="516">
        <v>0</v>
      </c>
    </row>
    <row r="397" spans="1:17" ht="16.5">
      <c r="A397" s="9">
        <v>2022</v>
      </c>
      <c r="B397" s="10" t="s">
        <v>748</v>
      </c>
      <c r="C397" s="511" t="s">
        <v>749</v>
      </c>
      <c r="D397" s="512">
        <v>218000</v>
      </c>
      <c r="E397" s="512">
        <v>0</v>
      </c>
      <c r="F397" s="512"/>
      <c r="G397" s="512">
        <v>92000</v>
      </c>
      <c r="H397" s="512">
        <v>9.1999999999999993</v>
      </c>
      <c r="I397" s="512"/>
      <c r="J397" s="512" t="s">
        <v>237</v>
      </c>
      <c r="K397" s="512" t="b">
        <v>0</v>
      </c>
      <c r="L397" s="512">
        <v>4</v>
      </c>
      <c r="M397" s="513">
        <v>2026</v>
      </c>
      <c r="N397" s="514">
        <v>0</v>
      </c>
      <c r="O397" s="515">
        <v>44620</v>
      </c>
      <c r="P397" s="515">
        <v>44620</v>
      </c>
      <c r="Q397" s="516">
        <v>0</v>
      </c>
    </row>
    <row r="398" spans="1:17" ht="16.5">
      <c r="A398" s="9">
        <v>2022</v>
      </c>
      <c r="B398" s="10" t="s">
        <v>748</v>
      </c>
      <c r="C398" s="511" t="s">
        <v>749</v>
      </c>
      <c r="D398" s="512">
        <v>218000</v>
      </c>
      <c r="E398" s="512">
        <v>0</v>
      </c>
      <c r="F398" s="512"/>
      <c r="G398" s="512">
        <v>92000</v>
      </c>
      <c r="H398" s="512">
        <v>9.1999999999999993</v>
      </c>
      <c r="I398" s="512"/>
      <c r="J398" s="512" t="s">
        <v>237</v>
      </c>
      <c r="K398" s="512" t="b">
        <v>0</v>
      </c>
      <c r="L398" s="512">
        <v>11</v>
      </c>
      <c r="M398" s="513">
        <v>2033</v>
      </c>
      <c r="N398" s="514">
        <v>0</v>
      </c>
      <c r="O398" s="515">
        <v>44620</v>
      </c>
      <c r="P398" s="515">
        <v>44620</v>
      </c>
      <c r="Q398" s="516">
        <v>0</v>
      </c>
    </row>
    <row r="399" spans="1:17" ht="16.5">
      <c r="A399" s="9">
        <v>2022</v>
      </c>
      <c r="B399" s="10" t="s">
        <v>748</v>
      </c>
      <c r="C399" s="511" t="s">
        <v>749</v>
      </c>
      <c r="D399" s="512">
        <v>218000</v>
      </c>
      <c r="E399" s="512">
        <v>0</v>
      </c>
      <c r="F399" s="512"/>
      <c r="G399" s="512">
        <v>92000</v>
      </c>
      <c r="H399" s="512">
        <v>9.1999999999999993</v>
      </c>
      <c r="I399" s="512"/>
      <c r="J399" s="512" t="s">
        <v>237</v>
      </c>
      <c r="K399" s="512" t="b">
        <v>0</v>
      </c>
      <c r="L399" s="512">
        <v>3</v>
      </c>
      <c r="M399" s="513">
        <v>2025</v>
      </c>
      <c r="N399" s="514">
        <v>0</v>
      </c>
      <c r="O399" s="515">
        <v>44620</v>
      </c>
      <c r="P399" s="515">
        <v>44620</v>
      </c>
      <c r="Q399" s="516">
        <v>0</v>
      </c>
    </row>
    <row r="400" spans="1:17" ht="16.5">
      <c r="A400" s="9">
        <v>2022</v>
      </c>
      <c r="B400" s="10" t="s">
        <v>748</v>
      </c>
      <c r="C400" s="511" t="s">
        <v>749</v>
      </c>
      <c r="D400" s="512">
        <v>218000</v>
      </c>
      <c r="E400" s="512">
        <v>0</v>
      </c>
      <c r="F400" s="512"/>
      <c r="G400" s="512">
        <v>92000</v>
      </c>
      <c r="H400" s="512">
        <v>9.1999999999999993</v>
      </c>
      <c r="I400" s="512"/>
      <c r="J400" s="512" t="s">
        <v>237</v>
      </c>
      <c r="K400" s="512" t="b">
        <v>0</v>
      </c>
      <c r="L400" s="512">
        <v>9</v>
      </c>
      <c r="M400" s="513">
        <v>2031</v>
      </c>
      <c r="N400" s="514">
        <v>0</v>
      </c>
      <c r="O400" s="515">
        <v>44620</v>
      </c>
      <c r="P400" s="515">
        <v>44620</v>
      </c>
      <c r="Q400" s="516">
        <v>0</v>
      </c>
    </row>
    <row r="401" spans="1:17" ht="16.5">
      <c r="A401" s="9">
        <v>2022</v>
      </c>
      <c r="B401" s="10" t="s">
        <v>748</v>
      </c>
      <c r="C401" s="511" t="s">
        <v>749</v>
      </c>
      <c r="D401" s="512">
        <v>218000</v>
      </c>
      <c r="E401" s="512">
        <v>0</v>
      </c>
      <c r="F401" s="512"/>
      <c r="G401" s="512">
        <v>92000</v>
      </c>
      <c r="H401" s="512">
        <v>9.1999999999999993</v>
      </c>
      <c r="I401" s="512"/>
      <c r="J401" s="512" t="s">
        <v>237</v>
      </c>
      <c r="K401" s="512" t="b">
        <v>0</v>
      </c>
      <c r="L401" s="512">
        <v>7</v>
      </c>
      <c r="M401" s="513">
        <v>2029</v>
      </c>
      <c r="N401" s="514">
        <v>0</v>
      </c>
      <c r="O401" s="515">
        <v>44620</v>
      </c>
      <c r="P401" s="515">
        <v>44620</v>
      </c>
      <c r="Q401" s="516">
        <v>0</v>
      </c>
    </row>
    <row r="402" spans="1:17" ht="16.5">
      <c r="A402" s="9">
        <v>2022</v>
      </c>
      <c r="B402" s="10" t="s">
        <v>748</v>
      </c>
      <c r="C402" s="511" t="s">
        <v>749</v>
      </c>
      <c r="D402" s="512">
        <v>218000</v>
      </c>
      <c r="E402" s="512">
        <v>0</v>
      </c>
      <c r="F402" s="512"/>
      <c r="G402" s="512">
        <v>92000</v>
      </c>
      <c r="H402" s="512">
        <v>9.1999999999999993</v>
      </c>
      <c r="I402" s="512"/>
      <c r="J402" s="512" t="s">
        <v>237</v>
      </c>
      <c r="K402" s="512" t="b">
        <v>0</v>
      </c>
      <c r="L402" s="512">
        <v>0</v>
      </c>
      <c r="M402" s="513">
        <v>2022</v>
      </c>
      <c r="N402" s="514">
        <v>2790427</v>
      </c>
      <c r="O402" s="515">
        <v>44620</v>
      </c>
      <c r="P402" s="515">
        <v>44620</v>
      </c>
      <c r="Q402" s="516">
        <v>0</v>
      </c>
    </row>
    <row r="403" spans="1:17" ht="16.5">
      <c r="A403" s="9">
        <v>2022</v>
      </c>
      <c r="B403" s="10" t="s">
        <v>748</v>
      </c>
      <c r="C403" s="511" t="s">
        <v>749</v>
      </c>
      <c r="D403" s="512">
        <v>218000</v>
      </c>
      <c r="E403" s="512">
        <v>0</v>
      </c>
      <c r="F403" s="512"/>
      <c r="G403" s="512">
        <v>61000</v>
      </c>
      <c r="H403" s="512">
        <v>6.1</v>
      </c>
      <c r="I403" s="512"/>
      <c r="J403" s="512" t="s">
        <v>220</v>
      </c>
      <c r="K403" s="512" t="b">
        <v>1</v>
      </c>
      <c r="L403" s="512">
        <v>6</v>
      </c>
      <c r="M403" s="513">
        <v>2028</v>
      </c>
      <c r="N403" s="514">
        <v>0</v>
      </c>
      <c r="O403" s="515">
        <v>44620</v>
      </c>
      <c r="P403" s="515">
        <v>44620</v>
      </c>
      <c r="Q403" s="516">
        <v>0</v>
      </c>
    </row>
    <row r="404" spans="1:17" ht="16.5">
      <c r="A404" s="9">
        <v>2022</v>
      </c>
      <c r="B404" s="10" t="s">
        <v>748</v>
      </c>
      <c r="C404" s="511" t="s">
        <v>749</v>
      </c>
      <c r="D404" s="512">
        <v>218000</v>
      </c>
      <c r="E404" s="512">
        <v>0</v>
      </c>
      <c r="F404" s="512"/>
      <c r="G404" s="512">
        <v>61000</v>
      </c>
      <c r="H404" s="512">
        <v>6.1</v>
      </c>
      <c r="I404" s="512"/>
      <c r="J404" s="512" t="s">
        <v>220</v>
      </c>
      <c r="K404" s="512" t="b">
        <v>1</v>
      </c>
      <c r="L404" s="512">
        <v>0</v>
      </c>
      <c r="M404" s="513">
        <v>2022</v>
      </c>
      <c r="N404" s="514">
        <v>0</v>
      </c>
      <c r="O404" s="515">
        <v>44620</v>
      </c>
      <c r="P404" s="515">
        <v>44620</v>
      </c>
      <c r="Q404" s="516">
        <v>0</v>
      </c>
    </row>
    <row r="405" spans="1:17" ht="16.5">
      <c r="A405" s="9">
        <v>2022</v>
      </c>
      <c r="B405" s="10" t="s">
        <v>748</v>
      </c>
      <c r="C405" s="511" t="s">
        <v>749</v>
      </c>
      <c r="D405" s="512">
        <v>218000</v>
      </c>
      <c r="E405" s="512">
        <v>0</v>
      </c>
      <c r="F405" s="512"/>
      <c r="G405" s="512">
        <v>61000</v>
      </c>
      <c r="H405" s="512">
        <v>6.1</v>
      </c>
      <c r="I405" s="512"/>
      <c r="J405" s="512" t="s">
        <v>220</v>
      </c>
      <c r="K405" s="512" t="b">
        <v>1</v>
      </c>
      <c r="L405" s="512">
        <v>4</v>
      </c>
      <c r="M405" s="513">
        <v>2026</v>
      </c>
      <c r="N405" s="514">
        <v>0</v>
      </c>
      <c r="O405" s="515">
        <v>44620</v>
      </c>
      <c r="P405" s="515">
        <v>44620</v>
      </c>
      <c r="Q405" s="516">
        <v>0</v>
      </c>
    </row>
    <row r="406" spans="1:17" ht="16.5">
      <c r="A406" s="9">
        <v>2022</v>
      </c>
      <c r="B406" s="10" t="s">
        <v>748</v>
      </c>
      <c r="C406" s="511" t="s">
        <v>749</v>
      </c>
      <c r="D406" s="512">
        <v>218000</v>
      </c>
      <c r="E406" s="512">
        <v>0</v>
      </c>
      <c r="F406" s="512"/>
      <c r="G406" s="512">
        <v>61000</v>
      </c>
      <c r="H406" s="512">
        <v>6.1</v>
      </c>
      <c r="I406" s="512"/>
      <c r="J406" s="512" t="s">
        <v>220</v>
      </c>
      <c r="K406" s="512" t="b">
        <v>1</v>
      </c>
      <c r="L406" s="512">
        <v>5</v>
      </c>
      <c r="M406" s="513">
        <v>2027</v>
      </c>
      <c r="N406" s="514">
        <v>0</v>
      </c>
      <c r="O406" s="515">
        <v>44620</v>
      </c>
      <c r="P406" s="515">
        <v>44620</v>
      </c>
      <c r="Q406" s="516">
        <v>0</v>
      </c>
    </row>
    <row r="407" spans="1:17" ht="16.5">
      <c r="A407" s="9">
        <v>2022</v>
      </c>
      <c r="B407" s="10" t="s">
        <v>748</v>
      </c>
      <c r="C407" s="511" t="s">
        <v>749</v>
      </c>
      <c r="D407" s="512">
        <v>218000</v>
      </c>
      <c r="E407" s="512">
        <v>0</v>
      </c>
      <c r="F407" s="512"/>
      <c r="G407" s="512">
        <v>61000</v>
      </c>
      <c r="H407" s="512">
        <v>6.1</v>
      </c>
      <c r="I407" s="512"/>
      <c r="J407" s="512" t="s">
        <v>220</v>
      </c>
      <c r="K407" s="512" t="b">
        <v>1</v>
      </c>
      <c r="L407" s="512">
        <v>3</v>
      </c>
      <c r="M407" s="513">
        <v>2025</v>
      </c>
      <c r="N407" s="514">
        <v>0</v>
      </c>
      <c r="O407" s="515">
        <v>44620</v>
      </c>
      <c r="P407" s="515">
        <v>44620</v>
      </c>
      <c r="Q407" s="516">
        <v>0</v>
      </c>
    </row>
    <row r="408" spans="1:17" ht="16.5">
      <c r="A408" s="9">
        <v>2022</v>
      </c>
      <c r="B408" s="10" t="s">
        <v>748</v>
      </c>
      <c r="C408" s="511" t="s">
        <v>749</v>
      </c>
      <c r="D408" s="512">
        <v>218000</v>
      </c>
      <c r="E408" s="512">
        <v>0</v>
      </c>
      <c r="F408" s="512"/>
      <c r="G408" s="512">
        <v>61000</v>
      </c>
      <c r="H408" s="512">
        <v>6.1</v>
      </c>
      <c r="I408" s="512"/>
      <c r="J408" s="512" t="s">
        <v>220</v>
      </c>
      <c r="K408" s="512" t="b">
        <v>1</v>
      </c>
      <c r="L408" s="512">
        <v>11</v>
      </c>
      <c r="M408" s="513">
        <v>2033</v>
      </c>
      <c r="N408" s="514">
        <v>0</v>
      </c>
      <c r="O408" s="515">
        <v>44620</v>
      </c>
      <c r="P408" s="515">
        <v>44620</v>
      </c>
      <c r="Q408" s="516">
        <v>0</v>
      </c>
    </row>
    <row r="409" spans="1:17" ht="16.5">
      <c r="A409" s="9">
        <v>2022</v>
      </c>
      <c r="B409" s="10" t="s">
        <v>748</v>
      </c>
      <c r="C409" s="511" t="s">
        <v>749</v>
      </c>
      <c r="D409" s="512">
        <v>218000</v>
      </c>
      <c r="E409" s="512">
        <v>0</v>
      </c>
      <c r="F409" s="512"/>
      <c r="G409" s="512">
        <v>61000</v>
      </c>
      <c r="H409" s="512">
        <v>6.1</v>
      </c>
      <c r="I409" s="512"/>
      <c r="J409" s="512" t="s">
        <v>220</v>
      </c>
      <c r="K409" s="512" t="b">
        <v>1</v>
      </c>
      <c r="L409" s="512">
        <v>1</v>
      </c>
      <c r="M409" s="513">
        <v>2023</v>
      </c>
      <c r="N409" s="514">
        <v>0</v>
      </c>
      <c r="O409" s="515">
        <v>44620</v>
      </c>
      <c r="P409" s="515">
        <v>44620</v>
      </c>
      <c r="Q409" s="516">
        <v>0</v>
      </c>
    </row>
    <row r="410" spans="1:17" ht="16.5">
      <c r="A410" s="9">
        <v>2022</v>
      </c>
      <c r="B410" s="10" t="s">
        <v>748</v>
      </c>
      <c r="C410" s="511" t="s">
        <v>749</v>
      </c>
      <c r="D410" s="512">
        <v>218000</v>
      </c>
      <c r="E410" s="512">
        <v>0</v>
      </c>
      <c r="F410" s="512"/>
      <c r="G410" s="512">
        <v>61000</v>
      </c>
      <c r="H410" s="512">
        <v>6.1</v>
      </c>
      <c r="I410" s="512"/>
      <c r="J410" s="512" t="s">
        <v>220</v>
      </c>
      <c r="K410" s="512" t="b">
        <v>1</v>
      </c>
      <c r="L410" s="512">
        <v>2</v>
      </c>
      <c r="M410" s="513">
        <v>2024</v>
      </c>
      <c r="N410" s="514">
        <v>0</v>
      </c>
      <c r="O410" s="515">
        <v>44620</v>
      </c>
      <c r="P410" s="515">
        <v>44620</v>
      </c>
      <c r="Q410" s="516">
        <v>0</v>
      </c>
    </row>
    <row r="411" spans="1:17" ht="16.5">
      <c r="A411" s="9">
        <v>2022</v>
      </c>
      <c r="B411" s="10" t="s">
        <v>748</v>
      </c>
      <c r="C411" s="511" t="s">
        <v>749</v>
      </c>
      <c r="D411" s="512">
        <v>218000</v>
      </c>
      <c r="E411" s="512">
        <v>0</v>
      </c>
      <c r="F411" s="512"/>
      <c r="G411" s="512">
        <v>61000</v>
      </c>
      <c r="H411" s="512">
        <v>6.1</v>
      </c>
      <c r="I411" s="512"/>
      <c r="J411" s="512" t="s">
        <v>220</v>
      </c>
      <c r="K411" s="512" t="b">
        <v>1</v>
      </c>
      <c r="L411" s="512">
        <v>9</v>
      </c>
      <c r="M411" s="513">
        <v>2031</v>
      </c>
      <c r="N411" s="514">
        <v>0</v>
      </c>
      <c r="O411" s="515">
        <v>44620</v>
      </c>
      <c r="P411" s="515">
        <v>44620</v>
      </c>
      <c r="Q411" s="516">
        <v>0</v>
      </c>
    </row>
    <row r="412" spans="1:17" ht="16.5">
      <c r="A412" s="9">
        <v>2022</v>
      </c>
      <c r="B412" s="10" t="s">
        <v>748</v>
      </c>
      <c r="C412" s="511" t="s">
        <v>749</v>
      </c>
      <c r="D412" s="512">
        <v>218000</v>
      </c>
      <c r="E412" s="512">
        <v>0</v>
      </c>
      <c r="F412" s="512"/>
      <c r="G412" s="512">
        <v>61000</v>
      </c>
      <c r="H412" s="512">
        <v>6.1</v>
      </c>
      <c r="I412" s="512"/>
      <c r="J412" s="512" t="s">
        <v>220</v>
      </c>
      <c r="K412" s="512" t="b">
        <v>1</v>
      </c>
      <c r="L412" s="512">
        <v>7</v>
      </c>
      <c r="M412" s="513">
        <v>2029</v>
      </c>
      <c r="N412" s="514">
        <v>0</v>
      </c>
      <c r="O412" s="515">
        <v>44620</v>
      </c>
      <c r="P412" s="515">
        <v>44620</v>
      </c>
      <c r="Q412" s="516">
        <v>0</v>
      </c>
    </row>
    <row r="413" spans="1:17" ht="16.5">
      <c r="A413" s="9">
        <v>2022</v>
      </c>
      <c r="B413" s="10" t="s">
        <v>748</v>
      </c>
      <c r="C413" s="511" t="s">
        <v>749</v>
      </c>
      <c r="D413" s="512">
        <v>218000</v>
      </c>
      <c r="E413" s="512">
        <v>0</v>
      </c>
      <c r="F413" s="512"/>
      <c r="G413" s="512">
        <v>61000</v>
      </c>
      <c r="H413" s="512">
        <v>6.1</v>
      </c>
      <c r="I413" s="512"/>
      <c r="J413" s="512" t="s">
        <v>220</v>
      </c>
      <c r="K413" s="512" t="b">
        <v>1</v>
      </c>
      <c r="L413" s="512">
        <v>10</v>
      </c>
      <c r="M413" s="513">
        <v>2032</v>
      </c>
      <c r="N413" s="514">
        <v>0</v>
      </c>
      <c r="O413" s="515">
        <v>44620</v>
      </c>
      <c r="P413" s="515">
        <v>44620</v>
      </c>
      <c r="Q413" s="516">
        <v>0</v>
      </c>
    </row>
    <row r="414" spans="1:17" ht="16.5">
      <c r="A414" s="9">
        <v>2022</v>
      </c>
      <c r="B414" s="10" t="s">
        <v>748</v>
      </c>
      <c r="C414" s="511" t="s">
        <v>749</v>
      </c>
      <c r="D414" s="512">
        <v>218000</v>
      </c>
      <c r="E414" s="512">
        <v>0</v>
      </c>
      <c r="F414" s="512"/>
      <c r="G414" s="512">
        <v>61000</v>
      </c>
      <c r="H414" s="512">
        <v>6.1</v>
      </c>
      <c r="I414" s="512"/>
      <c r="J414" s="512" t="s">
        <v>220</v>
      </c>
      <c r="K414" s="512" t="b">
        <v>1</v>
      </c>
      <c r="L414" s="512">
        <v>8</v>
      </c>
      <c r="M414" s="513">
        <v>2030</v>
      </c>
      <c r="N414" s="514">
        <v>0</v>
      </c>
      <c r="O414" s="515">
        <v>44620</v>
      </c>
      <c r="P414" s="515">
        <v>44620</v>
      </c>
      <c r="Q414" s="516">
        <v>0</v>
      </c>
    </row>
    <row r="415" spans="1:17" ht="16.5">
      <c r="A415" s="9">
        <v>2022</v>
      </c>
      <c r="B415" s="10" t="s">
        <v>748</v>
      </c>
      <c r="C415" s="511" t="s">
        <v>749</v>
      </c>
      <c r="D415" s="512">
        <v>218000</v>
      </c>
      <c r="E415" s="512">
        <v>0</v>
      </c>
      <c r="F415" s="512"/>
      <c r="G415" s="512">
        <v>52000</v>
      </c>
      <c r="H415" s="512">
        <v>5.2</v>
      </c>
      <c r="I415" s="512"/>
      <c r="J415" s="512" t="s">
        <v>218</v>
      </c>
      <c r="K415" s="512" t="b">
        <v>0</v>
      </c>
      <c r="L415" s="512">
        <v>3</v>
      </c>
      <c r="M415" s="513">
        <v>2025</v>
      </c>
      <c r="N415" s="514">
        <v>0</v>
      </c>
      <c r="O415" s="515">
        <v>44620</v>
      </c>
      <c r="P415" s="515">
        <v>44620</v>
      </c>
      <c r="Q415" s="516">
        <v>0</v>
      </c>
    </row>
    <row r="416" spans="1:17" ht="16.5">
      <c r="A416" s="9">
        <v>2022</v>
      </c>
      <c r="B416" s="10" t="s">
        <v>748</v>
      </c>
      <c r="C416" s="511" t="s">
        <v>749</v>
      </c>
      <c r="D416" s="512">
        <v>218000</v>
      </c>
      <c r="E416" s="512">
        <v>0</v>
      </c>
      <c r="F416" s="512"/>
      <c r="G416" s="512">
        <v>52000</v>
      </c>
      <c r="H416" s="512">
        <v>5.2</v>
      </c>
      <c r="I416" s="512"/>
      <c r="J416" s="512" t="s">
        <v>218</v>
      </c>
      <c r="K416" s="512" t="b">
        <v>0</v>
      </c>
      <c r="L416" s="512">
        <v>0</v>
      </c>
      <c r="M416" s="513">
        <v>2022</v>
      </c>
      <c r="N416" s="514">
        <v>0</v>
      </c>
      <c r="O416" s="515">
        <v>44620</v>
      </c>
      <c r="P416" s="515">
        <v>44620</v>
      </c>
      <c r="Q416" s="516">
        <v>0</v>
      </c>
    </row>
    <row r="417" spans="1:17" ht="16.5">
      <c r="A417" s="9">
        <v>2022</v>
      </c>
      <c r="B417" s="10" t="s">
        <v>748</v>
      </c>
      <c r="C417" s="511" t="s">
        <v>749</v>
      </c>
      <c r="D417" s="512">
        <v>218000</v>
      </c>
      <c r="E417" s="512">
        <v>0</v>
      </c>
      <c r="F417" s="512"/>
      <c r="G417" s="512">
        <v>52000</v>
      </c>
      <c r="H417" s="512">
        <v>5.2</v>
      </c>
      <c r="I417" s="512"/>
      <c r="J417" s="512" t="s">
        <v>218</v>
      </c>
      <c r="K417" s="512" t="b">
        <v>0</v>
      </c>
      <c r="L417" s="512">
        <v>2</v>
      </c>
      <c r="M417" s="513">
        <v>2024</v>
      </c>
      <c r="N417" s="514">
        <v>0</v>
      </c>
      <c r="O417" s="515">
        <v>44620</v>
      </c>
      <c r="P417" s="515">
        <v>44620</v>
      </c>
      <c r="Q417" s="516">
        <v>0</v>
      </c>
    </row>
    <row r="418" spans="1:17" ht="16.5">
      <c r="A418" s="9">
        <v>2022</v>
      </c>
      <c r="B418" s="10" t="s">
        <v>748</v>
      </c>
      <c r="C418" s="511" t="s">
        <v>749</v>
      </c>
      <c r="D418" s="512">
        <v>218000</v>
      </c>
      <c r="E418" s="512">
        <v>0</v>
      </c>
      <c r="F418" s="512"/>
      <c r="G418" s="512">
        <v>52000</v>
      </c>
      <c r="H418" s="512">
        <v>5.2</v>
      </c>
      <c r="I418" s="512"/>
      <c r="J418" s="512" t="s">
        <v>218</v>
      </c>
      <c r="K418" s="512" t="b">
        <v>0</v>
      </c>
      <c r="L418" s="512">
        <v>10</v>
      </c>
      <c r="M418" s="513">
        <v>2032</v>
      </c>
      <c r="N418" s="514">
        <v>0</v>
      </c>
      <c r="O418" s="515">
        <v>44620</v>
      </c>
      <c r="P418" s="515">
        <v>44620</v>
      </c>
      <c r="Q418" s="516">
        <v>0</v>
      </c>
    </row>
    <row r="419" spans="1:17" ht="16.5">
      <c r="A419" s="9">
        <v>2022</v>
      </c>
      <c r="B419" s="10" t="s">
        <v>748</v>
      </c>
      <c r="C419" s="511" t="s">
        <v>749</v>
      </c>
      <c r="D419" s="512">
        <v>218000</v>
      </c>
      <c r="E419" s="512">
        <v>0</v>
      </c>
      <c r="F419" s="512"/>
      <c r="G419" s="512">
        <v>52000</v>
      </c>
      <c r="H419" s="512">
        <v>5.2</v>
      </c>
      <c r="I419" s="512"/>
      <c r="J419" s="512" t="s">
        <v>218</v>
      </c>
      <c r="K419" s="512" t="b">
        <v>0</v>
      </c>
      <c r="L419" s="512">
        <v>11</v>
      </c>
      <c r="M419" s="513">
        <v>2033</v>
      </c>
      <c r="N419" s="514">
        <v>0</v>
      </c>
      <c r="O419" s="515">
        <v>44620</v>
      </c>
      <c r="P419" s="515">
        <v>44620</v>
      </c>
      <c r="Q419" s="516">
        <v>0</v>
      </c>
    </row>
    <row r="420" spans="1:17" ht="16.5">
      <c r="A420" s="9">
        <v>2022</v>
      </c>
      <c r="B420" s="10" t="s">
        <v>748</v>
      </c>
      <c r="C420" s="511" t="s">
        <v>749</v>
      </c>
      <c r="D420" s="512">
        <v>218000</v>
      </c>
      <c r="E420" s="512">
        <v>0</v>
      </c>
      <c r="F420" s="512"/>
      <c r="G420" s="512">
        <v>52000</v>
      </c>
      <c r="H420" s="512">
        <v>5.2</v>
      </c>
      <c r="I420" s="512"/>
      <c r="J420" s="512" t="s">
        <v>218</v>
      </c>
      <c r="K420" s="512" t="b">
        <v>0</v>
      </c>
      <c r="L420" s="512">
        <v>7</v>
      </c>
      <c r="M420" s="513">
        <v>2029</v>
      </c>
      <c r="N420" s="514">
        <v>0</v>
      </c>
      <c r="O420" s="515">
        <v>44620</v>
      </c>
      <c r="P420" s="515">
        <v>44620</v>
      </c>
      <c r="Q420" s="516">
        <v>0</v>
      </c>
    </row>
    <row r="421" spans="1:17" ht="16.5">
      <c r="A421" s="9">
        <v>2022</v>
      </c>
      <c r="B421" s="10" t="s">
        <v>748</v>
      </c>
      <c r="C421" s="511" t="s">
        <v>749</v>
      </c>
      <c r="D421" s="512">
        <v>218000</v>
      </c>
      <c r="E421" s="512">
        <v>0</v>
      </c>
      <c r="F421" s="512"/>
      <c r="G421" s="512">
        <v>52000</v>
      </c>
      <c r="H421" s="512">
        <v>5.2</v>
      </c>
      <c r="I421" s="512"/>
      <c r="J421" s="512" t="s">
        <v>218</v>
      </c>
      <c r="K421" s="512" t="b">
        <v>0</v>
      </c>
      <c r="L421" s="512">
        <v>9</v>
      </c>
      <c r="M421" s="513">
        <v>2031</v>
      </c>
      <c r="N421" s="514">
        <v>0</v>
      </c>
      <c r="O421" s="515">
        <v>44620</v>
      </c>
      <c r="P421" s="515">
        <v>44620</v>
      </c>
      <c r="Q421" s="516">
        <v>0</v>
      </c>
    </row>
    <row r="422" spans="1:17" ht="16.5">
      <c r="A422" s="9">
        <v>2022</v>
      </c>
      <c r="B422" s="10" t="s">
        <v>748</v>
      </c>
      <c r="C422" s="511" t="s">
        <v>749</v>
      </c>
      <c r="D422" s="512">
        <v>218000</v>
      </c>
      <c r="E422" s="512">
        <v>0</v>
      </c>
      <c r="F422" s="512"/>
      <c r="G422" s="512">
        <v>52000</v>
      </c>
      <c r="H422" s="512">
        <v>5.2</v>
      </c>
      <c r="I422" s="512"/>
      <c r="J422" s="512" t="s">
        <v>218</v>
      </c>
      <c r="K422" s="512" t="b">
        <v>0</v>
      </c>
      <c r="L422" s="512">
        <v>6</v>
      </c>
      <c r="M422" s="513">
        <v>2028</v>
      </c>
      <c r="N422" s="514">
        <v>0</v>
      </c>
      <c r="O422" s="515">
        <v>44620</v>
      </c>
      <c r="P422" s="515">
        <v>44620</v>
      </c>
      <c r="Q422" s="516">
        <v>0</v>
      </c>
    </row>
    <row r="423" spans="1:17" ht="16.5">
      <c r="A423" s="9">
        <v>2022</v>
      </c>
      <c r="B423" s="10" t="s">
        <v>748</v>
      </c>
      <c r="C423" s="511" t="s">
        <v>749</v>
      </c>
      <c r="D423" s="512">
        <v>218000</v>
      </c>
      <c r="E423" s="512">
        <v>0</v>
      </c>
      <c r="F423" s="512"/>
      <c r="G423" s="512">
        <v>52000</v>
      </c>
      <c r="H423" s="512">
        <v>5.2</v>
      </c>
      <c r="I423" s="512"/>
      <c r="J423" s="512" t="s">
        <v>218</v>
      </c>
      <c r="K423" s="512" t="b">
        <v>0</v>
      </c>
      <c r="L423" s="512">
        <v>5</v>
      </c>
      <c r="M423" s="513">
        <v>2027</v>
      </c>
      <c r="N423" s="514">
        <v>0</v>
      </c>
      <c r="O423" s="515">
        <v>44620</v>
      </c>
      <c r="P423" s="515">
        <v>44620</v>
      </c>
      <c r="Q423" s="516">
        <v>0</v>
      </c>
    </row>
    <row r="424" spans="1:17" ht="16.5">
      <c r="A424" s="9">
        <v>2022</v>
      </c>
      <c r="B424" s="10" t="s">
        <v>748</v>
      </c>
      <c r="C424" s="511" t="s">
        <v>749</v>
      </c>
      <c r="D424" s="512">
        <v>218000</v>
      </c>
      <c r="E424" s="512">
        <v>0</v>
      </c>
      <c r="F424" s="512"/>
      <c r="G424" s="512">
        <v>52000</v>
      </c>
      <c r="H424" s="512">
        <v>5.2</v>
      </c>
      <c r="I424" s="512"/>
      <c r="J424" s="512" t="s">
        <v>218</v>
      </c>
      <c r="K424" s="512" t="b">
        <v>0</v>
      </c>
      <c r="L424" s="512">
        <v>4</v>
      </c>
      <c r="M424" s="513">
        <v>2026</v>
      </c>
      <c r="N424" s="514">
        <v>0</v>
      </c>
      <c r="O424" s="515">
        <v>44620</v>
      </c>
      <c r="P424" s="515">
        <v>44620</v>
      </c>
      <c r="Q424" s="516">
        <v>0</v>
      </c>
    </row>
    <row r="425" spans="1:17" ht="16.5">
      <c r="A425" s="9">
        <v>2022</v>
      </c>
      <c r="B425" s="10" t="s">
        <v>748</v>
      </c>
      <c r="C425" s="511" t="s">
        <v>749</v>
      </c>
      <c r="D425" s="512">
        <v>218000</v>
      </c>
      <c r="E425" s="512">
        <v>0</v>
      </c>
      <c r="F425" s="512"/>
      <c r="G425" s="512">
        <v>52000</v>
      </c>
      <c r="H425" s="512">
        <v>5.2</v>
      </c>
      <c r="I425" s="512"/>
      <c r="J425" s="512" t="s">
        <v>218</v>
      </c>
      <c r="K425" s="512" t="b">
        <v>0</v>
      </c>
      <c r="L425" s="512">
        <v>8</v>
      </c>
      <c r="M425" s="513">
        <v>2030</v>
      </c>
      <c r="N425" s="514">
        <v>0</v>
      </c>
      <c r="O425" s="515">
        <v>44620</v>
      </c>
      <c r="P425" s="515">
        <v>44620</v>
      </c>
      <c r="Q425" s="516">
        <v>0</v>
      </c>
    </row>
    <row r="426" spans="1:17" ht="16.5">
      <c r="A426" s="9">
        <v>2022</v>
      </c>
      <c r="B426" s="10" t="s">
        <v>748</v>
      </c>
      <c r="C426" s="511" t="s">
        <v>749</v>
      </c>
      <c r="D426" s="512">
        <v>218000</v>
      </c>
      <c r="E426" s="512">
        <v>0</v>
      </c>
      <c r="F426" s="512"/>
      <c r="G426" s="512">
        <v>52000</v>
      </c>
      <c r="H426" s="512">
        <v>5.2</v>
      </c>
      <c r="I426" s="512"/>
      <c r="J426" s="512" t="s">
        <v>218</v>
      </c>
      <c r="K426" s="512" t="b">
        <v>0</v>
      </c>
      <c r="L426" s="512">
        <v>1</v>
      </c>
      <c r="M426" s="513">
        <v>2023</v>
      </c>
      <c r="N426" s="514">
        <v>0</v>
      </c>
      <c r="O426" s="515">
        <v>44620</v>
      </c>
      <c r="P426" s="515">
        <v>44620</v>
      </c>
      <c r="Q426" s="516">
        <v>0</v>
      </c>
    </row>
    <row r="427" spans="1:17" ht="16.5">
      <c r="A427" s="9">
        <v>2022</v>
      </c>
      <c r="B427" s="10" t="s">
        <v>748</v>
      </c>
      <c r="C427" s="511" t="s">
        <v>749</v>
      </c>
      <c r="D427" s="512">
        <v>218000</v>
      </c>
      <c r="E427" s="512">
        <v>0</v>
      </c>
      <c r="F427" s="512"/>
      <c r="G427" s="512">
        <v>91100</v>
      </c>
      <c r="H427" s="512" t="s">
        <v>283</v>
      </c>
      <c r="I427" s="512"/>
      <c r="J427" s="512" t="s">
        <v>235</v>
      </c>
      <c r="K427" s="512" t="b">
        <v>1</v>
      </c>
      <c r="L427" s="512">
        <v>7</v>
      </c>
      <c r="M427" s="513">
        <v>2029</v>
      </c>
      <c r="N427" s="514">
        <v>0</v>
      </c>
      <c r="O427" s="515">
        <v>44620</v>
      </c>
      <c r="P427" s="515">
        <v>44620</v>
      </c>
      <c r="Q427" s="516">
        <v>0</v>
      </c>
    </row>
    <row r="428" spans="1:17" ht="16.5">
      <c r="A428" s="9">
        <v>2022</v>
      </c>
      <c r="B428" s="10" t="s">
        <v>748</v>
      </c>
      <c r="C428" s="511" t="s">
        <v>749</v>
      </c>
      <c r="D428" s="512">
        <v>218000</v>
      </c>
      <c r="E428" s="512">
        <v>0</v>
      </c>
      <c r="F428" s="512"/>
      <c r="G428" s="512">
        <v>91100</v>
      </c>
      <c r="H428" s="512" t="s">
        <v>283</v>
      </c>
      <c r="I428" s="512"/>
      <c r="J428" s="512" t="s">
        <v>235</v>
      </c>
      <c r="K428" s="512" t="b">
        <v>1</v>
      </c>
      <c r="L428" s="512">
        <v>5</v>
      </c>
      <c r="M428" s="513">
        <v>2027</v>
      </c>
      <c r="N428" s="514">
        <v>0</v>
      </c>
      <c r="O428" s="515">
        <v>44620</v>
      </c>
      <c r="P428" s="515">
        <v>44620</v>
      </c>
      <c r="Q428" s="516">
        <v>0</v>
      </c>
    </row>
    <row r="429" spans="1:17" ht="16.5">
      <c r="A429" s="9">
        <v>2022</v>
      </c>
      <c r="B429" s="10" t="s">
        <v>748</v>
      </c>
      <c r="C429" s="511" t="s">
        <v>749</v>
      </c>
      <c r="D429" s="512">
        <v>218000</v>
      </c>
      <c r="E429" s="512">
        <v>0</v>
      </c>
      <c r="F429" s="512"/>
      <c r="G429" s="512">
        <v>91100</v>
      </c>
      <c r="H429" s="512" t="s">
        <v>283</v>
      </c>
      <c r="I429" s="512"/>
      <c r="J429" s="512" t="s">
        <v>235</v>
      </c>
      <c r="K429" s="512" t="b">
        <v>1</v>
      </c>
      <c r="L429" s="512">
        <v>2</v>
      </c>
      <c r="M429" s="513">
        <v>2024</v>
      </c>
      <c r="N429" s="514">
        <v>0</v>
      </c>
      <c r="O429" s="515">
        <v>44620</v>
      </c>
      <c r="P429" s="515">
        <v>44620</v>
      </c>
      <c r="Q429" s="516">
        <v>0</v>
      </c>
    </row>
    <row r="430" spans="1:17" ht="16.5">
      <c r="A430" s="9">
        <v>2022</v>
      </c>
      <c r="B430" s="10" t="s">
        <v>748</v>
      </c>
      <c r="C430" s="511" t="s">
        <v>749</v>
      </c>
      <c r="D430" s="512">
        <v>218000</v>
      </c>
      <c r="E430" s="512">
        <v>0</v>
      </c>
      <c r="F430" s="512"/>
      <c r="G430" s="512">
        <v>91100</v>
      </c>
      <c r="H430" s="512" t="s">
        <v>283</v>
      </c>
      <c r="I430" s="512"/>
      <c r="J430" s="512" t="s">
        <v>235</v>
      </c>
      <c r="K430" s="512" t="b">
        <v>1</v>
      </c>
      <c r="L430" s="512">
        <v>0</v>
      </c>
      <c r="M430" s="513">
        <v>2022</v>
      </c>
      <c r="N430" s="514">
        <v>1933369</v>
      </c>
      <c r="O430" s="515">
        <v>44620</v>
      </c>
      <c r="P430" s="515">
        <v>44620</v>
      </c>
      <c r="Q430" s="516">
        <v>0</v>
      </c>
    </row>
    <row r="431" spans="1:17" ht="16.5">
      <c r="A431" s="9">
        <v>2022</v>
      </c>
      <c r="B431" s="10" t="s">
        <v>748</v>
      </c>
      <c r="C431" s="511" t="s">
        <v>749</v>
      </c>
      <c r="D431" s="512">
        <v>218000</v>
      </c>
      <c r="E431" s="512">
        <v>0</v>
      </c>
      <c r="F431" s="512"/>
      <c r="G431" s="512">
        <v>91100</v>
      </c>
      <c r="H431" s="512" t="s">
        <v>283</v>
      </c>
      <c r="I431" s="512"/>
      <c r="J431" s="512" t="s">
        <v>235</v>
      </c>
      <c r="K431" s="512" t="b">
        <v>1</v>
      </c>
      <c r="L431" s="512">
        <v>4</v>
      </c>
      <c r="M431" s="513">
        <v>2026</v>
      </c>
      <c r="N431" s="514">
        <v>0</v>
      </c>
      <c r="O431" s="515">
        <v>44620</v>
      </c>
      <c r="P431" s="515">
        <v>44620</v>
      </c>
      <c r="Q431" s="516">
        <v>0</v>
      </c>
    </row>
    <row r="432" spans="1:17" ht="16.5">
      <c r="A432" s="9">
        <v>2022</v>
      </c>
      <c r="B432" s="10" t="s">
        <v>748</v>
      </c>
      <c r="C432" s="511" t="s">
        <v>749</v>
      </c>
      <c r="D432" s="512">
        <v>218000</v>
      </c>
      <c r="E432" s="512">
        <v>0</v>
      </c>
      <c r="F432" s="512"/>
      <c r="G432" s="512">
        <v>91100</v>
      </c>
      <c r="H432" s="512" t="s">
        <v>283</v>
      </c>
      <c r="I432" s="512"/>
      <c r="J432" s="512" t="s">
        <v>235</v>
      </c>
      <c r="K432" s="512" t="b">
        <v>1</v>
      </c>
      <c r="L432" s="512">
        <v>9</v>
      </c>
      <c r="M432" s="513">
        <v>2031</v>
      </c>
      <c r="N432" s="514">
        <v>0</v>
      </c>
      <c r="O432" s="515">
        <v>44620</v>
      </c>
      <c r="P432" s="515">
        <v>44620</v>
      </c>
      <c r="Q432" s="516">
        <v>0</v>
      </c>
    </row>
    <row r="433" spans="1:17" ht="16.5">
      <c r="A433" s="9">
        <v>2022</v>
      </c>
      <c r="B433" s="10" t="s">
        <v>748</v>
      </c>
      <c r="C433" s="511" t="s">
        <v>749</v>
      </c>
      <c r="D433" s="512">
        <v>218000</v>
      </c>
      <c r="E433" s="512">
        <v>0</v>
      </c>
      <c r="F433" s="512"/>
      <c r="G433" s="512">
        <v>91100</v>
      </c>
      <c r="H433" s="512" t="s">
        <v>283</v>
      </c>
      <c r="I433" s="512"/>
      <c r="J433" s="512" t="s">
        <v>235</v>
      </c>
      <c r="K433" s="512" t="b">
        <v>1</v>
      </c>
      <c r="L433" s="512">
        <v>1</v>
      </c>
      <c r="M433" s="513">
        <v>2023</v>
      </c>
      <c r="N433" s="514">
        <v>0</v>
      </c>
      <c r="O433" s="515">
        <v>44620</v>
      </c>
      <c r="P433" s="515">
        <v>44620</v>
      </c>
      <c r="Q433" s="516">
        <v>0</v>
      </c>
    </row>
    <row r="434" spans="1:17" ht="16.5">
      <c r="A434" s="9">
        <v>2022</v>
      </c>
      <c r="B434" s="10" t="s">
        <v>748</v>
      </c>
      <c r="C434" s="511" t="s">
        <v>749</v>
      </c>
      <c r="D434" s="512">
        <v>218000</v>
      </c>
      <c r="E434" s="512">
        <v>0</v>
      </c>
      <c r="F434" s="512"/>
      <c r="G434" s="512">
        <v>91100</v>
      </c>
      <c r="H434" s="512" t="s">
        <v>283</v>
      </c>
      <c r="I434" s="512"/>
      <c r="J434" s="512" t="s">
        <v>235</v>
      </c>
      <c r="K434" s="512" t="b">
        <v>1</v>
      </c>
      <c r="L434" s="512">
        <v>3</v>
      </c>
      <c r="M434" s="513">
        <v>2025</v>
      </c>
      <c r="N434" s="514">
        <v>0</v>
      </c>
      <c r="O434" s="515">
        <v>44620</v>
      </c>
      <c r="P434" s="515">
        <v>44620</v>
      </c>
      <c r="Q434" s="516">
        <v>0</v>
      </c>
    </row>
    <row r="435" spans="1:17" ht="16.5">
      <c r="A435" s="9">
        <v>2022</v>
      </c>
      <c r="B435" s="10" t="s">
        <v>748</v>
      </c>
      <c r="C435" s="511" t="s">
        <v>749</v>
      </c>
      <c r="D435" s="512">
        <v>218000</v>
      </c>
      <c r="E435" s="512">
        <v>0</v>
      </c>
      <c r="F435" s="512"/>
      <c r="G435" s="512">
        <v>91100</v>
      </c>
      <c r="H435" s="512" t="s">
        <v>283</v>
      </c>
      <c r="I435" s="512"/>
      <c r="J435" s="512" t="s">
        <v>235</v>
      </c>
      <c r="K435" s="512" t="b">
        <v>1</v>
      </c>
      <c r="L435" s="512">
        <v>10</v>
      </c>
      <c r="M435" s="513">
        <v>2032</v>
      </c>
      <c r="N435" s="514">
        <v>0</v>
      </c>
      <c r="O435" s="515">
        <v>44620</v>
      </c>
      <c r="P435" s="515">
        <v>44620</v>
      </c>
      <c r="Q435" s="516">
        <v>0</v>
      </c>
    </row>
    <row r="436" spans="1:17" ht="16.5">
      <c r="A436" s="9">
        <v>2022</v>
      </c>
      <c r="B436" s="10" t="s">
        <v>748</v>
      </c>
      <c r="C436" s="511" t="s">
        <v>749</v>
      </c>
      <c r="D436" s="512">
        <v>218000</v>
      </c>
      <c r="E436" s="512">
        <v>0</v>
      </c>
      <c r="F436" s="512"/>
      <c r="G436" s="512">
        <v>91100</v>
      </c>
      <c r="H436" s="512" t="s">
        <v>283</v>
      </c>
      <c r="I436" s="512"/>
      <c r="J436" s="512" t="s">
        <v>235</v>
      </c>
      <c r="K436" s="512" t="b">
        <v>1</v>
      </c>
      <c r="L436" s="512">
        <v>11</v>
      </c>
      <c r="M436" s="513">
        <v>2033</v>
      </c>
      <c r="N436" s="514">
        <v>0</v>
      </c>
      <c r="O436" s="515">
        <v>44620</v>
      </c>
      <c r="P436" s="515">
        <v>44620</v>
      </c>
      <c r="Q436" s="516">
        <v>0</v>
      </c>
    </row>
    <row r="437" spans="1:17" ht="16.5">
      <c r="A437" s="9">
        <v>2022</v>
      </c>
      <c r="B437" s="10" t="s">
        <v>748</v>
      </c>
      <c r="C437" s="511" t="s">
        <v>749</v>
      </c>
      <c r="D437" s="512">
        <v>218000</v>
      </c>
      <c r="E437" s="512">
        <v>0</v>
      </c>
      <c r="F437" s="512"/>
      <c r="G437" s="512">
        <v>91100</v>
      </c>
      <c r="H437" s="512" t="s">
        <v>283</v>
      </c>
      <c r="I437" s="512"/>
      <c r="J437" s="512" t="s">
        <v>235</v>
      </c>
      <c r="K437" s="512" t="b">
        <v>1</v>
      </c>
      <c r="L437" s="512">
        <v>8</v>
      </c>
      <c r="M437" s="513">
        <v>2030</v>
      </c>
      <c r="N437" s="514">
        <v>0</v>
      </c>
      <c r="O437" s="515">
        <v>44620</v>
      </c>
      <c r="P437" s="515">
        <v>44620</v>
      </c>
      <c r="Q437" s="516">
        <v>0</v>
      </c>
    </row>
    <row r="438" spans="1:17" ht="16.5">
      <c r="A438" s="9">
        <v>2022</v>
      </c>
      <c r="B438" s="10" t="s">
        <v>748</v>
      </c>
      <c r="C438" s="511" t="s">
        <v>749</v>
      </c>
      <c r="D438" s="512">
        <v>218000</v>
      </c>
      <c r="E438" s="512">
        <v>0</v>
      </c>
      <c r="F438" s="512"/>
      <c r="G438" s="512">
        <v>91100</v>
      </c>
      <c r="H438" s="512" t="s">
        <v>283</v>
      </c>
      <c r="I438" s="512"/>
      <c r="J438" s="512" t="s">
        <v>235</v>
      </c>
      <c r="K438" s="512" t="b">
        <v>1</v>
      </c>
      <c r="L438" s="512">
        <v>6</v>
      </c>
      <c r="M438" s="513">
        <v>2028</v>
      </c>
      <c r="N438" s="514">
        <v>0</v>
      </c>
      <c r="O438" s="515">
        <v>44620</v>
      </c>
      <c r="P438" s="515">
        <v>44620</v>
      </c>
      <c r="Q438" s="516">
        <v>0</v>
      </c>
    </row>
    <row r="439" spans="1:17" ht="16.5">
      <c r="A439" s="9">
        <v>2022</v>
      </c>
      <c r="B439" s="10" t="s">
        <v>748</v>
      </c>
      <c r="C439" s="511" t="s">
        <v>749</v>
      </c>
      <c r="D439" s="512">
        <v>218000</v>
      </c>
      <c r="E439" s="512">
        <v>0</v>
      </c>
      <c r="F439" s="512"/>
      <c r="G439" s="512">
        <v>12000</v>
      </c>
      <c r="H439" s="512">
        <v>1.2</v>
      </c>
      <c r="I439" s="512"/>
      <c r="J439" s="512" t="s">
        <v>189</v>
      </c>
      <c r="K439" s="512" t="b">
        <v>1</v>
      </c>
      <c r="L439" s="512">
        <v>5</v>
      </c>
      <c r="M439" s="513">
        <v>2027</v>
      </c>
      <c r="N439" s="514">
        <v>500000</v>
      </c>
      <c r="O439" s="515">
        <v>44620</v>
      </c>
      <c r="P439" s="515">
        <v>44620</v>
      </c>
      <c r="Q439" s="516">
        <v>0</v>
      </c>
    </row>
    <row r="440" spans="1:17" ht="16.5">
      <c r="A440" s="9">
        <v>2022</v>
      </c>
      <c r="B440" s="10" t="s">
        <v>748</v>
      </c>
      <c r="C440" s="511" t="s">
        <v>749</v>
      </c>
      <c r="D440" s="512">
        <v>218000</v>
      </c>
      <c r="E440" s="512">
        <v>0</v>
      </c>
      <c r="F440" s="512"/>
      <c r="G440" s="512">
        <v>12000</v>
      </c>
      <c r="H440" s="512">
        <v>1.2</v>
      </c>
      <c r="I440" s="512"/>
      <c r="J440" s="512" t="s">
        <v>189</v>
      </c>
      <c r="K440" s="512" t="b">
        <v>1</v>
      </c>
      <c r="L440" s="512">
        <v>11</v>
      </c>
      <c r="M440" s="513">
        <v>2033</v>
      </c>
      <c r="N440" s="514">
        <v>0</v>
      </c>
      <c r="O440" s="515">
        <v>44620</v>
      </c>
      <c r="P440" s="515">
        <v>44620</v>
      </c>
      <c r="Q440" s="516">
        <v>0</v>
      </c>
    </row>
    <row r="441" spans="1:17" ht="16.5">
      <c r="A441" s="9">
        <v>2022</v>
      </c>
      <c r="B441" s="10" t="s">
        <v>748</v>
      </c>
      <c r="C441" s="511" t="s">
        <v>749</v>
      </c>
      <c r="D441" s="512">
        <v>218000</v>
      </c>
      <c r="E441" s="512">
        <v>0</v>
      </c>
      <c r="F441" s="512"/>
      <c r="G441" s="512">
        <v>12000</v>
      </c>
      <c r="H441" s="512">
        <v>1.2</v>
      </c>
      <c r="I441" s="512"/>
      <c r="J441" s="512" t="s">
        <v>189</v>
      </c>
      <c r="K441" s="512" t="b">
        <v>1</v>
      </c>
      <c r="L441" s="512">
        <v>9</v>
      </c>
      <c r="M441" s="513">
        <v>2031</v>
      </c>
      <c r="N441" s="514">
        <v>500000</v>
      </c>
      <c r="O441" s="515">
        <v>44620</v>
      </c>
      <c r="P441" s="515">
        <v>44620</v>
      </c>
      <c r="Q441" s="516">
        <v>0</v>
      </c>
    </row>
    <row r="442" spans="1:17" ht="16.5">
      <c r="A442" s="9">
        <v>2022</v>
      </c>
      <c r="B442" s="10" t="s">
        <v>748</v>
      </c>
      <c r="C442" s="511" t="s">
        <v>749</v>
      </c>
      <c r="D442" s="512">
        <v>218000</v>
      </c>
      <c r="E442" s="512">
        <v>0</v>
      </c>
      <c r="F442" s="512"/>
      <c r="G442" s="512">
        <v>12000</v>
      </c>
      <c r="H442" s="512">
        <v>1.2</v>
      </c>
      <c r="I442" s="512"/>
      <c r="J442" s="512" t="s">
        <v>189</v>
      </c>
      <c r="K442" s="512" t="b">
        <v>1</v>
      </c>
      <c r="L442" s="512">
        <v>6</v>
      </c>
      <c r="M442" s="513">
        <v>2028</v>
      </c>
      <c r="N442" s="514">
        <v>500000</v>
      </c>
      <c r="O442" s="515">
        <v>44620</v>
      </c>
      <c r="P442" s="515">
        <v>44620</v>
      </c>
      <c r="Q442" s="516">
        <v>0</v>
      </c>
    </row>
    <row r="443" spans="1:17" ht="16.5">
      <c r="A443" s="9">
        <v>2022</v>
      </c>
      <c r="B443" s="10" t="s">
        <v>748</v>
      </c>
      <c r="C443" s="511" t="s">
        <v>749</v>
      </c>
      <c r="D443" s="512">
        <v>218000</v>
      </c>
      <c r="E443" s="512">
        <v>0</v>
      </c>
      <c r="F443" s="512"/>
      <c r="G443" s="512">
        <v>12000</v>
      </c>
      <c r="H443" s="512">
        <v>1.2</v>
      </c>
      <c r="I443" s="512"/>
      <c r="J443" s="512" t="s">
        <v>189</v>
      </c>
      <c r="K443" s="512" t="b">
        <v>1</v>
      </c>
      <c r="L443" s="512">
        <v>0</v>
      </c>
      <c r="M443" s="513">
        <v>2022</v>
      </c>
      <c r="N443" s="514">
        <v>10814085</v>
      </c>
      <c r="O443" s="515">
        <v>44620</v>
      </c>
      <c r="P443" s="515">
        <v>44620</v>
      </c>
      <c r="Q443" s="516">
        <v>0</v>
      </c>
    </row>
    <row r="444" spans="1:17" ht="16.5">
      <c r="A444" s="9">
        <v>2022</v>
      </c>
      <c r="B444" s="10" t="s">
        <v>748</v>
      </c>
      <c r="C444" s="511" t="s">
        <v>749</v>
      </c>
      <c r="D444" s="512">
        <v>218000</v>
      </c>
      <c r="E444" s="512">
        <v>0</v>
      </c>
      <c r="F444" s="512"/>
      <c r="G444" s="512">
        <v>12000</v>
      </c>
      <c r="H444" s="512">
        <v>1.2</v>
      </c>
      <c r="I444" s="512"/>
      <c r="J444" s="512" t="s">
        <v>189</v>
      </c>
      <c r="K444" s="512" t="b">
        <v>1</v>
      </c>
      <c r="L444" s="512">
        <v>10</v>
      </c>
      <c r="M444" s="513">
        <v>2032</v>
      </c>
      <c r="N444" s="514">
        <v>0</v>
      </c>
      <c r="O444" s="515">
        <v>44620</v>
      </c>
      <c r="P444" s="515">
        <v>44620</v>
      </c>
      <c r="Q444" s="516">
        <v>0</v>
      </c>
    </row>
    <row r="445" spans="1:17" ht="16.5">
      <c r="A445" s="9">
        <v>2022</v>
      </c>
      <c r="B445" s="10" t="s">
        <v>748</v>
      </c>
      <c r="C445" s="511" t="s">
        <v>749</v>
      </c>
      <c r="D445" s="512">
        <v>218000</v>
      </c>
      <c r="E445" s="512">
        <v>0</v>
      </c>
      <c r="F445" s="512"/>
      <c r="G445" s="512">
        <v>12000</v>
      </c>
      <c r="H445" s="512">
        <v>1.2</v>
      </c>
      <c r="I445" s="512"/>
      <c r="J445" s="512" t="s">
        <v>189</v>
      </c>
      <c r="K445" s="512" t="b">
        <v>1</v>
      </c>
      <c r="L445" s="512">
        <v>4</v>
      </c>
      <c r="M445" s="513">
        <v>2026</v>
      </c>
      <c r="N445" s="514">
        <v>500000</v>
      </c>
      <c r="O445" s="515">
        <v>44620</v>
      </c>
      <c r="P445" s="515">
        <v>44620</v>
      </c>
      <c r="Q445" s="516">
        <v>0</v>
      </c>
    </row>
    <row r="446" spans="1:17" ht="16.5">
      <c r="A446" s="9">
        <v>2022</v>
      </c>
      <c r="B446" s="10" t="s">
        <v>748</v>
      </c>
      <c r="C446" s="511" t="s">
        <v>749</v>
      </c>
      <c r="D446" s="512">
        <v>218000</v>
      </c>
      <c r="E446" s="512">
        <v>0</v>
      </c>
      <c r="F446" s="512"/>
      <c r="G446" s="512">
        <v>12000</v>
      </c>
      <c r="H446" s="512">
        <v>1.2</v>
      </c>
      <c r="I446" s="512"/>
      <c r="J446" s="512" t="s">
        <v>189</v>
      </c>
      <c r="K446" s="512" t="b">
        <v>1</v>
      </c>
      <c r="L446" s="512">
        <v>8</v>
      </c>
      <c r="M446" s="513">
        <v>2030</v>
      </c>
      <c r="N446" s="514">
        <v>500000</v>
      </c>
      <c r="O446" s="515">
        <v>44620</v>
      </c>
      <c r="P446" s="515">
        <v>44620</v>
      </c>
      <c r="Q446" s="516">
        <v>0</v>
      </c>
    </row>
    <row r="447" spans="1:17" ht="16.5">
      <c r="A447" s="9">
        <v>2022</v>
      </c>
      <c r="B447" s="10" t="s">
        <v>748</v>
      </c>
      <c r="C447" s="511" t="s">
        <v>749</v>
      </c>
      <c r="D447" s="512">
        <v>218000</v>
      </c>
      <c r="E447" s="512">
        <v>0</v>
      </c>
      <c r="F447" s="512"/>
      <c r="G447" s="512">
        <v>12000</v>
      </c>
      <c r="H447" s="512">
        <v>1.2</v>
      </c>
      <c r="I447" s="512"/>
      <c r="J447" s="512" t="s">
        <v>189</v>
      </c>
      <c r="K447" s="512" t="b">
        <v>1</v>
      </c>
      <c r="L447" s="512">
        <v>7</v>
      </c>
      <c r="M447" s="513">
        <v>2029</v>
      </c>
      <c r="N447" s="514">
        <v>500000</v>
      </c>
      <c r="O447" s="515">
        <v>44620</v>
      </c>
      <c r="P447" s="515">
        <v>44620</v>
      </c>
      <c r="Q447" s="516">
        <v>0</v>
      </c>
    </row>
    <row r="448" spans="1:17" ht="16.5">
      <c r="A448" s="9">
        <v>2022</v>
      </c>
      <c r="B448" s="10" t="s">
        <v>748</v>
      </c>
      <c r="C448" s="511" t="s">
        <v>749</v>
      </c>
      <c r="D448" s="512">
        <v>218000</v>
      </c>
      <c r="E448" s="512">
        <v>0</v>
      </c>
      <c r="F448" s="512"/>
      <c r="G448" s="512">
        <v>12000</v>
      </c>
      <c r="H448" s="512">
        <v>1.2</v>
      </c>
      <c r="I448" s="512"/>
      <c r="J448" s="512" t="s">
        <v>189</v>
      </c>
      <c r="K448" s="512" t="b">
        <v>1</v>
      </c>
      <c r="L448" s="512">
        <v>3</v>
      </c>
      <c r="M448" s="513">
        <v>2025</v>
      </c>
      <c r="N448" s="514">
        <v>500000</v>
      </c>
      <c r="O448" s="515">
        <v>44620</v>
      </c>
      <c r="P448" s="515">
        <v>44620</v>
      </c>
      <c r="Q448" s="516">
        <v>0</v>
      </c>
    </row>
    <row r="449" spans="1:17" ht="16.5">
      <c r="A449" s="9">
        <v>2022</v>
      </c>
      <c r="B449" s="10" t="s">
        <v>748</v>
      </c>
      <c r="C449" s="511" t="s">
        <v>749</v>
      </c>
      <c r="D449" s="512">
        <v>218000</v>
      </c>
      <c r="E449" s="512">
        <v>0</v>
      </c>
      <c r="F449" s="512"/>
      <c r="G449" s="512">
        <v>12000</v>
      </c>
      <c r="H449" s="512">
        <v>1.2</v>
      </c>
      <c r="I449" s="512"/>
      <c r="J449" s="512" t="s">
        <v>189</v>
      </c>
      <c r="K449" s="512" t="b">
        <v>1</v>
      </c>
      <c r="L449" s="512">
        <v>1</v>
      </c>
      <c r="M449" s="513">
        <v>2023</v>
      </c>
      <c r="N449" s="514">
        <v>22250000</v>
      </c>
      <c r="O449" s="515">
        <v>44620</v>
      </c>
      <c r="P449" s="515">
        <v>44620</v>
      </c>
      <c r="Q449" s="516">
        <v>0</v>
      </c>
    </row>
    <row r="450" spans="1:17" ht="16.5">
      <c r="A450" s="9">
        <v>2022</v>
      </c>
      <c r="B450" s="10" t="s">
        <v>748</v>
      </c>
      <c r="C450" s="511" t="s">
        <v>749</v>
      </c>
      <c r="D450" s="512">
        <v>218000</v>
      </c>
      <c r="E450" s="512">
        <v>0</v>
      </c>
      <c r="F450" s="512"/>
      <c r="G450" s="512">
        <v>12000</v>
      </c>
      <c r="H450" s="512">
        <v>1.2</v>
      </c>
      <c r="I450" s="512"/>
      <c r="J450" s="512" t="s">
        <v>189</v>
      </c>
      <c r="K450" s="512" t="b">
        <v>1</v>
      </c>
      <c r="L450" s="512">
        <v>2</v>
      </c>
      <c r="M450" s="513">
        <v>2024</v>
      </c>
      <c r="N450" s="514">
        <v>500000</v>
      </c>
      <c r="O450" s="515">
        <v>44620</v>
      </c>
      <c r="P450" s="515">
        <v>44620</v>
      </c>
      <c r="Q450" s="516">
        <v>0</v>
      </c>
    </row>
    <row r="451" spans="1:17" ht="16.5">
      <c r="A451" s="9">
        <v>2022</v>
      </c>
      <c r="B451" s="10" t="s">
        <v>748</v>
      </c>
      <c r="C451" s="511" t="s">
        <v>749</v>
      </c>
      <c r="D451" s="512">
        <v>218000</v>
      </c>
      <c r="E451" s="512">
        <v>0</v>
      </c>
      <c r="F451" s="512"/>
      <c r="G451" s="512">
        <v>91110</v>
      </c>
      <c r="H451" s="512" t="s">
        <v>284</v>
      </c>
      <c r="I451" s="512"/>
      <c r="J451" s="512" t="s">
        <v>236</v>
      </c>
      <c r="K451" s="512" t="b">
        <v>1</v>
      </c>
      <c r="L451" s="512">
        <v>10</v>
      </c>
      <c r="M451" s="513">
        <v>2032</v>
      </c>
      <c r="N451" s="514">
        <v>0</v>
      </c>
      <c r="O451" s="515">
        <v>44620</v>
      </c>
      <c r="P451" s="515">
        <v>44620</v>
      </c>
      <c r="Q451" s="516">
        <v>0</v>
      </c>
    </row>
    <row r="452" spans="1:17" ht="16.5">
      <c r="A452" s="9">
        <v>2022</v>
      </c>
      <c r="B452" s="10" t="s">
        <v>748</v>
      </c>
      <c r="C452" s="511" t="s">
        <v>749</v>
      </c>
      <c r="D452" s="512">
        <v>218000</v>
      </c>
      <c r="E452" s="512">
        <v>0</v>
      </c>
      <c r="F452" s="512"/>
      <c r="G452" s="512">
        <v>91110</v>
      </c>
      <c r="H452" s="512" t="s">
        <v>284</v>
      </c>
      <c r="I452" s="512"/>
      <c r="J452" s="512" t="s">
        <v>236</v>
      </c>
      <c r="K452" s="512" t="b">
        <v>1</v>
      </c>
      <c r="L452" s="512">
        <v>9</v>
      </c>
      <c r="M452" s="513">
        <v>2031</v>
      </c>
      <c r="N452" s="514">
        <v>0</v>
      </c>
      <c r="O452" s="515">
        <v>44620</v>
      </c>
      <c r="P452" s="515">
        <v>44620</v>
      </c>
      <c r="Q452" s="516">
        <v>0</v>
      </c>
    </row>
    <row r="453" spans="1:17" ht="16.5">
      <c r="A453" s="9">
        <v>2022</v>
      </c>
      <c r="B453" s="10" t="s">
        <v>748</v>
      </c>
      <c r="C453" s="511" t="s">
        <v>749</v>
      </c>
      <c r="D453" s="512">
        <v>218000</v>
      </c>
      <c r="E453" s="512">
        <v>0</v>
      </c>
      <c r="F453" s="512"/>
      <c r="G453" s="512">
        <v>91110</v>
      </c>
      <c r="H453" s="512" t="s">
        <v>284</v>
      </c>
      <c r="I453" s="512"/>
      <c r="J453" s="512" t="s">
        <v>236</v>
      </c>
      <c r="K453" s="512" t="b">
        <v>1</v>
      </c>
      <c r="L453" s="512">
        <v>3</v>
      </c>
      <c r="M453" s="513">
        <v>2025</v>
      </c>
      <c r="N453" s="514">
        <v>0</v>
      </c>
      <c r="O453" s="515">
        <v>44620</v>
      </c>
      <c r="P453" s="515">
        <v>44620</v>
      </c>
      <c r="Q453" s="516">
        <v>0</v>
      </c>
    </row>
    <row r="454" spans="1:17" ht="16.5">
      <c r="A454" s="9">
        <v>2022</v>
      </c>
      <c r="B454" s="10" t="s">
        <v>748</v>
      </c>
      <c r="C454" s="511" t="s">
        <v>749</v>
      </c>
      <c r="D454" s="512">
        <v>218000</v>
      </c>
      <c r="E454" s="512">
        <v>0</v>
      </c>
      <c r="F454" s="512"/>
      <c r="G454" s="512">
        <v>91110</v>
      </c>
      <c r="H454" s="512" t="s">
        <v>284</v>
      </c>
      <c r="I454" s="512"/>
      <c r="J454" s="512" t="s">
        <v>236</v>
      </c>
      <c r="K454" s="512" t="b">
        <v>1</v>
      </c>
      <c r="L454" s="512">
        <v>0</v>
      </c>
      <c r="M454" s="513">
        <v>2022</v>
      </c>
      <c r="N454" s="514">
        <v>1933369</v>
      </c>
      <c r="O454" s="515">
        <v>44620</v>
      </c>
      <c r="P454" s="515">
        <v>44620</v>
      </c>
      <c r="Q454" s="516">
        <v>0</v>
      </c>
    </row>
    <row r="455" spans="1:17" ht="16.5">
      <c r="A455" s="9">
        <v>2022</v>
      </c>
      <c r="B455" s="10" t="s">
        <v>748</v>
      </c>
      <c r="C455" s="511" t="s">
        <v>749</v>
      </c>
      <c r="D455" s="512">
        <v>218000</v>
      </c>
      <c r="E455" s="512">
        <v>0</v>
      </c>
      <c r="F455" s="512"/>
      <c r="G455" s="512">
        <v>91110</v>
      </c>
      <c r="H455" s="512" t="s">
        <v>284</v>
      </c>
      <c r="I455" s="512"/>
      <c r="J455" s="512" t="s">
        <v>236</v>
      </c>
      <c r="K455" s="512" t="b">
        <v>1</v>
      </c>
      <c r="L455" s="512">
        <v>11</v>
      </c>
      <c r="M455" s="513">
        <v>2033</v>
      </c>
      <c r="N455" s="514">
        <v>0</v>
      </c>
      <c r="O455" s="515">
        <v>44620</v>
      </c>
      <c r="P455" s="515">
        <v>44620</v>
      </c>
      <c r="Q455" s="516">
        <v>0</v>
      </c>
    </row>
    <row r="456" spans="1:17" ht="16.5">
      <c r="A456" s="9">
        <v>2022</v>
      </c>
      <c r="B456" s="10" t="s">
        <v>748</v>
      </c>
      <c r="C456" s="511" t="s">
        <v>749</v>
      </c>
      <c r="D456" s="512">
        <v>218000</v>
      </c>
      <c r="E456" s="512">
        <v>0</v>
      </c>
      <c r="F456" s="512"/>
      <c r="G456" s="512">
        <v>91110</v>
      </c>
      <c r="H456" s="512" t="s">
        <v>284</v>
      </c>
      <c r="I456" s="512"/>
      <c r="J456" s="512" t="s">
        <v>236</v>
      </c>
      <c r="K456" s="512" t="b">
        <v>1</v>
      </c>
      <c r="L456" s="512">
        <v>7</v>
      </c>
      <c r="M456" s="513">
        <v>2029</v>
      </c>
      <c r="N456" s="514">
        <v>0</v>
      </c>
      <c r="O456" s="515">
        <v>44620</v>
      </c>
      <c r="P456" s="515">
        <v>44620</v>
      </c>
      <c r="Q456" s="516">
        <v>0</v>
      </c>
    </row>
    <row r="457" spans="1:17" ht="16.5">
      <c r="A457" s="9">
        <v>2022</v>
      </c>
      <c r="B457" s="10" t="s">
        <v>748</v>
      </c>
      <c r="C457" s="511" t="s">
        <v>749</v>
      </c>
      <c r="D457" s="512">
        <v>218000</v>
      </c>
      <c r="E457" s="512">
        <v>0</v>
      </c>
      <c r="F457" s="512"/>
      <c r="G457" s="512">
        <v>91110</v>
      </c>
      <c r="H457" s="512" t="s">
        <v>284</v>
      </c>
      <c r="I457" s="512"/>
      <c r="J457" s="512" t="s">
        <v>236</v>
      </c>
      <c r="K457" s="512" t="b">
        <v>1</v>
      </c>
      <c r="L457" s="512">
        <v>6</v>
      </c>
      <c r="M457" s="513">
        <v>2028</v>
      </c>
      <c r="N457" s="514">
        <v>0</v>
      </c>
      <c r="O457" s="515">
        <v>44620</v>
      </c>
      <c r="P457" s="515">
        <v>44620</v>
      </c>
      <c r="Q457" s="516">
        <v>0</v>
      </c>
    </row>
    <row r="458" spans="1:17" ht="16.5">
      <c r="A458" s="9">
        <v>2022</v>
      </c>
      <c r="B458" s="10" t="s">
        <v>748</v>
      </c>
      <c r="C458" s="511" t="s">
        <v>749</v>
      </c>
      <c r="D458" s="512">
        <v>218000</v>
      </c>
      <c r="E458" s="512">
        <v>0</v>
      </c>
      <c r="F458" s="512"/>
      <c r="G458" s="512">
        <v>91110</v>
      </c>
      <c r="H458" s="512" t="s">
        <v>284</v>
      </c>
      <c r="I458" s="512"/>
      <c r="J458" s="512" t="s">
        <v>236</v>
      </c>
      <c r="K458" s="512" t="b">
        <v>1</v>
      </c>
      <c r="L458" s="512">
        <v>4</v>
      </c>
      <c r="M458" s="513">
        <v>2026</v>
      </c>
      <c r="N458" s="514">
        <v>0</v>
      </c>
      <c r="O458" s="515">
        <v>44620</v>
      </c>
      <c r="P458" s="515">
        <v>44620</v>
      </c>
      <c r="Q458" s="516">
        <v>0</v>
      </c>
    </row>
    <row r="459" spans="1:17" ht="16.5">
      <c r="A459" s="9">
        <v>2022</v>
      </c>
      <c r="B459" s="10" t="s">
        <v>748</v>
      </c>
      <c r="C459" s="511" t="s">
        <v>749</v>
      </c>
      <c r="D459" s="512">
        <v>218000</v>
      </c>
      <c r="E459" s="512">
        <v>0</v>
      </c>
      <c r="F459" s="512"/>
      <c r="G459" s="512">
        <v>91110</v>
      </c>
      <c r="H459" s="512" t="s">
        <v>284</v>
      </c>
      <c r="I459" s="512"/>
      <c r="J459" s="512" t="s">
        <v>236</v>
      </c>
      <c r="K459" s="512" t="b">
        <v>1</v>
      </c>
      <c r="L459" s="512">
        <v>5</v>
      </c>
      <c r="M459" s="513">
        <v>2027</v>
      </c>
      <c r="N459" s="514">
        <v>0</v>
      </c>
      <c r="O459" s="515">
        <v>44620</v>
      </c>
      <c r="P459" s="515">
        <v>44620</v>
      </c>
      <c r="Q459" s="516">
        <v>0</v>
      </c>
    </row>
    <row r="460" spans="1:17" ht="16.5">
      <c r="A460" s="9">
        <v>2022</v>
      </c>
      <c r="B460" s="10" t="s">
        <v>748</v>
      </c>
      <c r="C460" s="511" t="s">
        <v>749</v>
      </c>
      <c r="D460" s="512">
        <v>218000</v>
      </c>
      <c r="E460" s="512">
        <v>0</v>
      </c>
      <c r="F460" s="512"/>
      <c r="G460" s="512">
        <v>91110</v>
      </c>
      <c r="H460" s="512" t="s">
        <v>284</v>
      </c>
      <c r="I460" s="512"/>
      <c r="J460" s="512" t="s">
        <v>236</v>
      </c>
      <c r="K460" s="512" t="b">
        <v>1</v>
      </c>
      <c r="L460" s="512">
        <v>1</v>
      </c>
      <c r="M460" s="513">
        <v>2023</v>
      </c>
      <c r="N460" s="514">
        <v>0</v>
      </c>
      <c r="O460" s="515">
        <v>44620</v>
      </c>
      <c r="P460" s="515">
        <v>44620</v>
      </c>
      <c r="Q460" s="516">
        <v>0</v>
      </c>
    </row>
    <row r="461" spans="1:17" ht="16.5">
      <c r="A461" s="9">
        <v>2022</v>
      </c>
      <c r="B461" s="10" t="s">
        <v>748</v>
      </c>
      <c r="C461" s="511" t="s">
        <v>749</v>
      </c>
      <c r="D461" s="512">
        <v>218000</v>
      </c>
      <c r="E461" s="512">
        <v>0</v>
      </c>
      <c r="F461" s="512"/>
      <c r="G461" s="512">
        <v>91110</v>
      </c>
      <c r="H461" s="512" t="s">
        <v>284</v>
      </c>
      <c r="I461" s="512"/>
      <c r="J461" s="512" t="s">
        <v>236</v>
      </c>
      <c r="K461" s="512" t="b">
        <v>1</v>
      </c>
      <c r="L461" s="512">
        <v>8</v>
      </c>
      <c r="M461" s="513">
        <v>2030</v>
      </c>
      <c r="N461" s="514">
        <v>0</v>
      </c>
      <c r="O461" s="515">
        <v>44620</v>
      </c>
      <c r="P461" s="515">
        <v>44620</v>
      </c>
      <c r="Q461" s="516">
        <v>0</v>
      </c>
    </row>
    <row r="462" spans="1:17" ht="16.5">
      <c r="A462" s="9">
        <v>2022</v>
      </c>
      <c r="B462" s="10" t="s">
        <v>748</v>
      </c>
      <c r="C462" s="511" t="s">
        <v>749</v>
      </c>
      <c r="D462" s="512">
        <v>218000</v>
      </c>
      <c r="E462" s="512">
        <v>0</v>
      </c>
      <c r="F462" s="512"/>
      <c r="G462" s="512">
        <v>91110</v>
      </c>
      <c r="H462" s="512" t="s">
        <v>284</v>
      </c>
      <c r="I462" s="512"/>
      <c r="J462" s="512" t="s">
        <v>236</v>
      </c>
      <c r="K462" s="512" t="b">
        <v>1</v>
      </c>
      <c r="L462" s="512">
        <v>2</v>
      </c>
      <c r="M462" s="513">
        <v>2024</v>
      </c>
      <c r="N462" s="514">
        <v>0</v>
      </c>
      <c r="O462" s="515">
        <v>44620</v>
      </c>
      <c r="P462" s="515">
        <v>44620</v>
      </c>
      <c r="Q462" s="516">
        <v>0</v>
      </c>
    </row>
    <row r="463" spans="1:17" ht="16.5">
      <c r="A463" s="9">
        <v>2022</v>
      </c>
      <c r="B463" s="10" t="s">
        <v>748</v>
      </c>
      <c r="C463" s="511" t="s">
        <v>749</v>
      </c>
      <c r="D463" s="512">
        <v>218000</v>
      </c>
      <c r="E463" s="512">
        <v>0</v>
      </c>
      <c r="F463" s="512"/>
      <c r="G463" s="512">
        <v>83000</v>
      </c>
      <c r="H463" s="512">
        <v>8.3000000000000007</v>
      </c>
      <c r="I463" s="512"/>
      <c r="J463" s="512" t="s">
        <v>765</v>
      </c>
      <c r="K463" s="512" t="b">
        <v>1</v>
      </c>
      <c r="L463" s="512">
        <v>7</v>
      </c>
      <c r="M463" s="513">
        <v>2029</v>
      </c>
      <c r="N463" s="514">
        <v>8.9300000000000004E-2</v>
      </c>
      <c r="O463" s="515">
        <v>44620</v>
      </c>
      <c r="P463" s="515">
        <v>44620</v>
      </c>
      <c r="Q463" s="516">
        <v>0</v>
      </c>
    </row>
    <row r="464" spans="1:17" ht="16.5">
      <c r="A464" s="9">
        <v>2022</v>
      </c>
      <c r="B464" s="10" t="s">
        <v>748</v>
      </c>
      <c r="C464" s="511" t="s">
        <v>749</v>
      </c>
      <c r="D464" s="512">
        <v>218000</v>
      </c>
      <c r="E464" s="512">
        <v>0</v>
      </c>
      <c r="F464" s="512"/>
      <c r="G464" s="512">
        <v>83000</v>
      </c>
      <c r="H464" s="512">
        <v>8.3000000000000007</v>
      </c>
      <c r="I464" s="512"/>
      <c r="J464" s="512" t="s">
        <v>765</v>
      </c>
      <c r="K464" s="512" t="b">
        <v>1</v>
      </c>
      <c r="L464" s="512">
        <v>0</v>
      </c>
      <c r="M464" s="513">
        <v>2022</v>
      </c>
      <c r="N464" s="514">
        <v>0.14810000000000001</v>
      </c>
      <c r="O464" s="515">
        <v>44620</v>
      </c>
      <c r="P464" s="515">
        <v>44620</v>
      </c>
      <c r="Q464" s="516">
        <v>0</v>
      </c>
    </row>
    <row r="465" spans="1:17" ht="16.5">
      <c r="A465" s="9">
        <v>2022</v>
      </c>
      <c r="B465" s="10" t="s">
        <v>748</v>
      </c>
      <c r="C465" s="511" t="s">
        <v>749</v>
      </c>
      <c r="D465" s="512">
        <v>218000</v>
      </c>
      <c r="E465" s="512">
        <v>0</v>
      </c>
      <c r="F465" s="512"/>
      <c r="G465" s="512">
        <v>83000</v>
      </c>
      <c r="H465" s="512">
        <v>8.3000000000000007</v>
      </c>
      <c r="I465" s="512"/>
      <c r="J465" s="512" t="s">
        <v>765</v>
      </c>
      <c r="K465" s="512" t="b">
        <v>1</v>
      </c>
      <c r="L465" s="512">
        <v>8</v>
      </c>
      <c r="M465" s="513">
        <v>2030</v>
      </c>
      <c r="N465" s="514">
        <v>0.10050000000000001</v>
      </c>
      <c r="O465" s="515">
        <v>44620</v>
      </c>
      <c r="P465" s="515">
        <v>44620</v>
      </c>
      <c r="Q465" s="516">
        <v>0</v>
      </c>
    </row>
    <row r="466" spans="1:17" ht="16.5">
      <c r="A466" s="9">
        <v>2022</v>
      </c>
      <c r="B466" s="10" t="s">
        <v>748</v>
      </c>
      <c r="C466" s="511" t="s">
        <v>749</v>
      </c>
      <c r="D466" s="512">
        <v>218000</v>
      </c>
      <c r="E466" s="512">
        <v>0</v>
      </c>
      <c r="F466" s="512"/>
      <c r="G466" s="512">
        <v>83000</v>
      </c>
      <c r="H466" s="512">
        <v>8.3000000000000007</v>
      </c>
      <c r="I466" s="512"/>
      <c r="J466" s="512" t="s">
        <v>765</v>
      </c>
      <c r="K466" s="512" t="b">
        <v>1</v>
      </c>
      <c r="L466" s="512">
        <v>3</v>
      </c>
      <c r="M466" s="513">
        <v>2025</v>
      </c>
      <c r="N466" s="514">
        <v>0.11559999999999999</v>
      </c>
      <c r="O466" s="515">
        <v>44620</v>
      </c>
      <c r="P466" s="515">
        <v>44620</v>
      </c>
      <c r="Q466" s="516">
        <v>0</v>
      </c>
    </row>
    <row r="467" spans="1:17" ht="16.5">
      <c r="A467" s="9">
        <v>2022</v>
      </c>
      <c r="B467" s="10" t="s">
        <v>748</v>
      </c>
      <c r="C467" s="511" t="s">
        <v>749</v>
      </c>
      <c r="D467" s="512">
        <v>218000</v>
      </c>
      <c r="E467" s="512">
        <v>0</v>
      </c>
      <c r="F467" s="512"/>
      <c r="G467" s="512">
        <v>83000</v>
      </c>
      <c r="H467" s="512">
        <v>8.3000000000000007</v>
      </c>
      <c r="I467" s="512"/>
      <c r="J467" s="512" t="s">
        <v>765</v>
      </c>
      <c r="K467" s="512" t="b">
        <v>1</v>
      </c>
      <c r="L467" s="512">
        <v>5</v>
      </c>
      <c r="M467" s="513">
        <v>2027</v>
      </c>
      <c r="N467" s="514">
        <v>8.8400000000000006E-2</v>
      </c>
      <c r="O467" s="515">
        <v>44620</v>
      </c>
      <c r="P467" s="515">
        <v>44620</v>
      </c>
      <c r="Q467" s="516">
        <v>0</v>
      </c>
    </row>
    <row r="468" spans="1:17" ht="16.5">
      <c r="A468" s="9">
        <v>2022</v>
      </c>
      <c r="B468" s="10" t="s">
        <v>748</v>
      </c>
      <c r="C468" s="511" t="s">
        <v>749</v>
      </c>
      <c r="D468" s="512">
        <v>218000</v>
      </c>
      <c r="E468" s="512">
        <v>0</v>
      </c>
      <c r="F468" s="512"/>
      <c r="G468" s="512">
        <v>83000</v>
      </c>
      <c r="H468" s="512">
        <v>8.3000000000000007</v>
      </c>
      <c r="I468" s="512"/>
      <c r="J468" s="512" t="s">
        <v>765</v>
      </c>
      <c r="K468" s="512" t="b">
        <v>1</v>
      </c>
      <c r="L468" s="512">
        <v>1</v>
      </c>
      <c r="M468" s="513">
        <v>2023</v>
      </c>
      <c r="N468" s="514">
        <v>0.13919999999999999</v>
      </c>
      <c r="O468" s="515">
        <v>44620</v>
      </c>
      <c r="P468" s="515">
        <v>44620</v>
      </c>
      <c r="Q468" s="516">
        <v>0</v>
      </c>
    </row>
    <row r="469" spans="1:17" ht="16.5">
      <c r="A469" s="9">
        <v>2022</v>
      </c>
      <c r="B469" s="10" t="s">
        <v>748</v>
      </c>
      <c r="C469" s="511" t="s">
        <v>749</v>
      </c>
      <c r="D469" s="512">
        <v>218000</v>
      </c>
      <c r="E469" s="512">
        <v>0</v>
      </c>
      <c r="F469" s="512"/>
      <c r="G469" s="512">
        <v>83000</v>
      </c>
      <c r="H469" s="512">
        <v>8.3000000000000007</v>
      </c>
      <c r="I469" s="512"/>
      <c r="J469" s="512" t="s">
        <v>765</v>
      </c>
      <c r="K469" s="512" t="b">
        <v>1</v>
      </c>
      <c r="L469" s="512">
        <v>4</v>
      </c>
      <c r="M469" s="513">
        <v>2026</v>
      </c>
      <c r="N469" s="514">
        <v>0.10050000000000001</v>
      </c>
      <c r="O469" s="515">
        <v>44620</v>
      </c>
      <c r="P469" s="515">
        <v>44620</v>
      </c>
      <c r="Q469" s="516">
        <v>0</v>
      </c>
    </row>
    <row r="470" spans="1:17" ht="16.5">
      <c r="A470" s="9">
        <v>2022</v>
      </c>
      <c r="B470" s="10" t="s">
        <v>748</v>
      </c>
      <c r="C470" s="511" t="s">
        <v>749</v>
      </c>
      <c r="D470" s="512">
        <v>218000</v>
      </c>
      <c r="E470" s="512">
        <v>0</v>
      </c>
      <c r="F470" s="512"/>
      <c r="G470" s="512">
        <v>83000</v>
      </c>
      <c r="H470" s="512">
        <v>8.3000000000000007</v>
      </c>
      <c r="I470" s="512"/>
      <c r="J470" s="512" t="s">
        <v>765</v>
      </c>
      <c r="K470" s="512" t="b">
        <v>1</v>
      </c>
      <c r="L470" s="512">
        <v>9</v>
      </c>
      <c r="M470" s="513">
        <v>2031</v>
      </c>
      <c r="N470" s="514">
        <v>0.1086</v>
      </c>
      <c r="O470" s="515">
        <v>44620</v>
      </c>
      <c r="P470" s="515">
        <v>44620</v>
      </c>
      <c r="Q470" s="516">
        <v>0</v>
      </c>
    </row>
    <row r="471" spans="1:17" ht="16.5">
      <c r="A471" s="9">
        <v>2022</v>
      </c>
      <c r="B471" s="10" t="s">
        <v>748</v>
      </c>
      <c r="C471" s="511" t="s">
        <v>749</v>
      </c>
      <c r="D471" s="512">
        <v>218000</v>
      </c>
      <c r="E471" s="512">
        <v>0</v>
      </c>
      <c r="F471" s="512"/>
      <c r="G471" s="512">
        <v>83000</v>
      </c>
      <c r="H471" s="512">
        <v>8.3000000000000007</v>
      </c>
      <c r="I471" s="512"/>
      <c r="J471" s="512" t="s">
        <v>765</v>
      </c>
      <c r="K471" s="512" t="b">
        <v>1</v>
      </c>
      <c r="L471" s="512">
        <v>2</v>
      </c>
      <c r="M471" s="513">
        <v>2024</v>
      </c>
      <c r="N471" s="514">
        <v>0.1249</v>
      </c>
      <c r="O471" s="515">
        <v>44620</v>
      </c>
      <c r="P471" s="515">
        <v>44620</v>
      </c>
      <c r="Q471" s="516">
        <v>0</v>
      </c>
    </row>
    <row r="472" spans="1:17" ht="16.5">
      <c r="A472" s="9">
        <v>2022</v>
      </c>
      <c r="B472" s="10" t="s">
        <v>748</v>
      </c>
      <c r="C472" s="511" t="s">
        <v>749</v>
      </c>
      <c r="D472" s="512">
        <v>218000</v>
      </c>
      <c r="E472" s="512">
        <v>0</v>
      </c>
      <c r="F472" s="512"/>
      <c r="G472" s="512">
        <v>83000</v>
      </c>
      <c r="H472" s="512">
        <v>8.3000000000000007</v>
      </c>
      <c r="I472" s="512"/>
      <c r="J472" s="512" t="s">
        <v>765</v>
      </c>
      <c r="K472" s="512" t="b">
        <v>1</v>
      </c>
      <c r="L472" s="512">
        <v>11</v>
      </c>
      <c r="M472" s="513">
        <v>2033</v>
      </c>
      <c r="N472" s="514">
        <v>0.12470000000000001</v>
      </c>
      <c r="O472" s="515">
        <v>44620</v>
      </c>
      <c r="P472" s="515">
        <v>44620</v>
      </c>
      <c r="Q472" s="516">
        <v>0</v>
      </c>
    </row>
    <row r="473" spans="1:17" ht="16.5">
      <c r="A473" s="9">
        <v>2022</v>
      </c>
      <c r="B473" s="10" t="s">
        <v>748</v>
      </c>
      <c r="C473" s="511" t="s">
        <v>749</v>
      </c>
      <c r="D473" s="512">
        <v>218000</v>
      </c>
      <c r="E473" s="512">
        <v>0</v>
      </c>
      <c r="F473" s="512"/>
      <c r="G473" s="512">
        <v>83000</v>
      </c>
      <c r="H473" s="512">
        <v>8.3000000000000007</v>
      </c>
      <c r="I473" s="512"/>
      <c r="J473" s="512" t="s">
        <v>765</v>
      </c>
      <c r="K473" s="512" t="b">
        <v>1</v>
      </c>
      <c r="L473" s="512">
        <v>10</v>
      </c>
      <c r="M473" s="513">
        <v>2032</v>
      </c>
      <c r="N473" s="514">
        <v>0.1174</v>
      </c>
      <c r="O473" s="515">
        <v>44620</v>
      </c>
      <c r="P473" s="515">
        <v>44620</v>
      </c>
      <c r="Q473" s="516">
        <v>0</v>
      </c>
    </row>
    <row r="474" spans="1:17" ht="16.5">
      <c r="A474" s="9">
        <v>2022</v>
      </c>
      <c r="B474" s="10" t="s">
        <v>748</v>
      </c>
      <c r="C474" s="511" t="s">
        <v>749</v>
      </c>
      <c r="D474" s="512">
        <v>218000</v>
      </c>
      <c r="E474" s="512">
        <v>0</v>
      </c>
      <c r="F474" s="512"/>
      <c r="G474" s="512">
        <v>83000</v>
      </c>
      <c r="H474" s="512">
        <v>8.3000000000000007</v>
      </c>
      <c r="I474" s="512"/>
      <c r="J474" s="512" t="s">
        <v>765</v>
      </c>
      <c r="K474" s="512" t="b">
        <v>1</v>
      </c>
      <c r="L474" s="512">
        <v>6</v>
      </c>
      <c r="M474" s="513">
        <v>2028</v>
      </c>
      <c r="N474" s="514">
        <v>8.3299999999999999E-2</v>
      </c>
      <c r="O474" s="515">
        <v>44620</v>
      </c>
      <c r="P474" s="515">
        <v>44620</v>
      </c>
      <c r="Q474" s="516">
        <v>0</v>
      </c>
    </row>
    <row r="475" spans="1:17" ht="16.5">
      <c r="A475" s="9">
        <v>2022</v>
      </c>
      <c r="B475" s="10" t="s">
        <v>748</v>
      </c>
      <c r="C475" s="511" t="s">
        <v>749</v>
      </c>
      <c r="D475" s="512">
        <v>218000</v>
      </c>
      <c r="E475" s="512">
        <v>0</v>
      </c>
      <c r="F475" s="512"/>
      <c r="G475" s="512">
        <v>22110</v>
      </c>
      <c r="H475" s="512" t="s">
        <v>272</v>
      </c>
      <c r="I475" s="512"/>
      <c r="J475" s="512" t="s">
        <v>201</v>
      </c>
      <c r="K475" s="512" t="b">
        <v>0</v>
      </c>
      <c r="L475" s="512">
        <v>11</v>
      </c>
      <c r="M475" s="513">
        <v>2033</v>
      </c>
      <c r="N475" s="514">
        <v>0</v>
      </c>
      <c r="O475" s="515">
        <v>44620</v>
      </c>
      <c r="P475" s="515">
        <v>44620</v>
      </c>
      <c r="Q475" s="516">
        <v>0</v>
      </c>
    </row>
    <row r="476" spans="1:17" ht="16.5">
      <c r="A476" s="9">
        <v>2022</v>
      </c>
      <c r="B476" s="10" t="s">
        <v>748</v>
      </c>
      <c r="C476" s="511" t="s">
        <v>749</v>
      </c>
      <c r="D476" s="512">
        <v>218000</v>
      </c>
      <c r="E476" s="512">
        <v>0</v>
      </c>
      <c r="F476" s="512"/>
      <c r="G476" s="512">
        <v>22110</v>
      </c>
      <c r="H476" s="512" t="s">
        <v>272</v>
      </c>
      <c r="I476" s="512"/>
      <c r="J476" s="512" t="s">
        <v>201</v>
      </c>
      <c r="K476" s="512" t="b">
        <v>0</v>
      </c>
      <c r="L476" s="512">
        <v>8</v>
      </c>
      <c r="M476" s="513">
        <v>2030</v>
      </c>
      <c r="N476" s="514">
        <v>0</v>
      </c>
      <c r="O476" s="515">
        <v>44620</v>
      </c>
      <c r="P476" s="515">
        <v>44620</v>
      </c>
      <c r="Q476" s="516">
        <v>0</v>
      </c>
    </row>
    <row r="477" spans="1:17" ht="16.5">
      <c r="A477" s="9">
        <v>2022</v>
      </c>
      <c r="B477" s="10" t="s">
        <v>748</v>
      </c>
      <c r="C477" s="511" t="s">
        <v>749</v>
      </c>
      <c r="D477" s="512">
        <v>218000</v>
      </c>
      <c r="E477" s="512">
        <v>0</v>
      </c>
      <c r="F477" s="512"/>
      <c r="G477" s="512">
        <v>22110</v>
      </c>
      <c r="H477" s="512" t="s">
        <v>272</v>
      </c>
      <c r="I477" s="512"/>
      <c r="J477" s="512" t="s">
        <v>201</v>
      </c>
      <c r="K477" s="512" t="b">
        <v>0</v>
      </c>
      <c r="L477" s="512">
        <v>3</v>
      </c>
      <c r="M477" s="513">
        <v>2025</v>
      </c>
      <c r="N477" s="514">
        <v>0</v>
      </c>
      <c r="O477" s="515">
        <v>44620</v>
      </c>
      <c r="P477" s="515">
        <v>44620</v>
      </c>
      <c r="Q477" s="516">
        <v>0</v>
      </c>
    </row>
    <row r="478" spans="1:17" ht="16.5">
      <c r="A478" s="9">
        <v>2022</v>
      </c>
      <c r="B478" s="10" t="s">
        <v>748</v>
      </c>
      <c r="C478" s="511" t="s">
        <v>749</v>
      </c>
      <c r="D478" s="512">
        <v>218000</v>
      </c>
      <c r="E478" s="512">
        <v>0</v>
      </c>
      <c r="F478" s="512"/>
      <c r="G478" s="512">
        <v>22110</v>
      </c>
      <c r="H478" s="512" t="s">
        <v>272</v>
      </c>
      <c r="I478" s="512"/>
      <c r="J478" s="512" t="s">
        <v>201</v>
      </c>
      <c r="K478" s="512" t="b">
        <v>0</v>
      </c>
      <c r="L478" s="512">
        <v>5</v>
      </c>
      <c r="M478" s="513">
        <v>2027</v>
      </c>
      <c r="N478" s="514">
        <v>0</v>
      </c>
      <c r="O478" s="515">
        <v>44620</v>
      </c>
      <c r="P478" s="515">
        <v>44620</v>
      </c>
      <c r="Q478" s="516">
        <v>0</v>
      </c>
    </row>
    <row r="479" spans="1:17" ht="16.5">
      <c r="A479" s="9">
        <v>2022</v>
      </c>
      <c r="B479" s="10" t="s">
        <v>748</v>
      </c>
      <c r="C479" s="511" t="s">
        <v>749</v>
      </c>
      <c r="D479" s="512">
        <v>218000</v>
      </c>
      <c r="E479" s="512">
        <v>0</v>
      </c>
      <c r="F479" s="512"/>
      <c r="G479" s="512">
        <v>22110</v>
      </c>
      <c r="H479" s="512" t="s">
        <v>272</v>
      </c>
      <c r="I479" s="512"/>
      <c r="J479" s="512" t="s">
        <v>201</v>
      </c>
      <c r="K479" s="512" t="b">
        <v>0</v>
      </c>
      <c r="L479" s="512">
        <v>0</v>
      </c>
      <c r="M479" s="513">
        <v>2022</v>
      </c>
      <c r="N479" s="514">
        <v>910000</v>
      </c>
      <c r="O479" s="515">
        <v>44620</v>
      </c>
      <c r="P479" s="515">
        <v>44620</v>
      </c>
      <c r="Q479" s="516">
        <v>0</v>
      </c>
    </row>
    <row r="480" spans="1:17" ht="16.5">
      <c r="A480" s="9">
        <v>2022</v>
      </c>
      <c r="B480" s="10" t="s">
        <v>748</v>
      </c>
      <c r="C480" s="511" t="s">
        <v>749</v>
      </c>
      <c r="D480" s="512">
        <v>218000</v>
      </c>
      <c r="E480" s="512">
        <v>0</v>
      </c>
      <c r="F480" s="512"/>
      <c r="G480" s="512">
        <v>22110</v>
      </c>
      <c r="H480" s="512" t="s">
        <v>272</v>
      </c>
      <c r="I480" s="512"/>
      <c r="J480" s="512" t="s">
        <v>201</v>
      </c>
      <c r="K480" s="512" t="b">
        <v>0</v>
      </c>
      <c r="L480" s="512">
        <v>7</v>
      </c>
      <c r="M480" s="513">
        <v>2029</v>
      </c>
      <c r="N480" s="514">
        <v>0</v>
      </c>
      <c r="O480" s="515">
        <v>44620</v>
      </c>
      <c r="P480" s="515">
        <v>44620</v>
      </c>
      <c r="Q480" s="516">
        <v>0</v>
      </c>
    </row>
    <row r="481" spans="1:17" ht="16.5">
      <c r="A481" s="9">
        <v>2022</v>
      </c>
      <c r="B481" s="10" t="s">
        <v>748</v>
      </c>
      <c r="C481" s="511" t="s">
        <v>749</v>
      </c>
      <c r="D481" s="512">
        <v>218000</v>
      </c>
      <c r="E481" s="512">
        <v>0</v>
      </c>
      <c r="F481" s="512"/>
      <c r="G481" s="512">
        <v>22110</v>
      </c>
      <c r="H481" s="512" t="s">
        <v>272</v>
      </c>
      <c r="I481" s="512"/>
      <c r="J481" s="512" t="s">
        <v>201</v>
      </c>
      <c r="K481" s="512" t="b">
        <v>0</v>
      </c>
      <c r="L481" s="512">
        <v>2</v>
      </c>
      <c r="M481" s="513">
        <v>2024</v>
      </c>
      <c r="N481" s="514">
        <v>0</v>
      </c>
      <c r="O481" s="515">
        <v>44620</v>
      </c>
      <c r="P481" s="515">
        <v>44620</v>
      </c>
      <c r="Q481" s="516">
        <v>0</v>
      </c>
    </row>
    <row r="482" spans="1:17" ht="16.5">
      <c r="A482" s="9">
        <v>2022</v>
      </c>
      <c r="B482" s="10" t="s">
        <v>748</v>
      </c>
      <c r="C482" s="511" t="s">
        <v>749</v>
      </c>
      <c r="D482" s="512">
        <v>218000</v>
      </c>
      <c r="E482" s="512">
        <v>0</v>
      </c>
      <c r="F482" s="512"/>
      <c r="G482" s="512">
        <v>22110</v>
      </c>
      <c r="H482" s="512" t="s">
        <v>272</v>
      </c>
      <c r="I482" s="512"/>
      <c r="J482" s="512" t="s">
        <v>201</v>
      </c>
      <c r="K482" s="512" t="b">
        <v>0</v>
      </c>
      <c r="L482" s="512">
        <v>1</v>
      </c>
      <c r="M482" s="513">
        <v>2023</v>
      </c>
      <c r="N482" s="514">
        <v>0</v>
      </c>
      <c r="O482" s="515">
        <v>44620</v>
      </c>
      <c r="P482" s="515">
        <v>44620</v>
      </c>
      <c r="Q482" s="516">
        <v>0</v>
      </c>
    </row>
    <row r="483" spans="1:17" ht="16.5">
      <c r="A483" s="9">
        <v>2022</v>
      </c>
      <c r="B483" s="10" t="s">
        <v>748</v>
      </c>
      <c r="C483" s="511" t="s">
        <v>749</v>
      </c>
      <c r="D483" s="512">
        <v>218000</v>
      </c>
      <c r="E483" s="512">
        <v>0</v>
      </c>
      <c r="F483" s="512"/>
      <c r="G483" s="512">
        <v>22110</v>
      </c>
      <c r="H483" s="512" t="s">
        <v>272</v>
      </c>
      <c r="I483" s="512"/>
      <c r="J483" s="512" t="s">
        <v>201</v>
      </c>
      <c r="K483" s="512" t="b">
        <v>0</v>
      </c>
      <c r="L483" s="512">
        <v>4</v>
      </c>
      <c r="M483" s="513">
        <v>2026</v>
      </c>
      <c r="N483" s="514">
        <v>0</v>
      </c>
      <c r="O483" s="515">
        <v>44620</v>
      </c>
      <c r="P483" s="515">
        <v>44620</v>
      </c>
      <c r="Q483" s="516">
        <v>0</v>
      </c>
    </row>
    <row r="484" spans="1:17" ht="16.5">
      <c r="A484" s="9">
        <v>2022</v>
      </c>
      <c r="B484" s="10" t="s">
        <v>748</v>
      </c>
      <c r="C484" s="511" t="s">
        <v>749</v>
      </c>
      <c r="D484" s="512">
        <v>218000</v>
      </c>
      <c r="E484" s="512">
        <v>0</v>
      </c>
      <c r="F484" s="512"/>
      <c r="G484" s="512">
        <v>22110</v>
      </c>
      <c r="H484" s="512" t="s">
        <v>272</v>
      </c>
      <c r="I484" s="512"/>
      <c r="J484" s="512" t="s">
        <v>201</v>
      </c>
      <c r="K484" s="512" t="b">
        <v>0</v>
      </c>
      <c r="L484" s="512">
        <v>10</v>
      </c>
      <c r="M484" s="513">
        <v>2032</v>
      </c>
      <c r="N484" s="514">
        <v>0</v>
      </c>
      <c r="O484" s="515">
        <v>44620</v>
      </c>
      <c r="P484" s="515">
        <v>44620</v>
      </c>
      <c r="Q484" s="516">
        <v>0</v>
      </c>
    </row>
    <row r="485" spans="1:17" ht="16.5">
      <c r="A485" s="9">
        <v>2022</v>
      </c>
      <c r="B485" s="10" t="s">
        <v>748</v>
      </c>
      <c r="C485" s="511" t="s">
        <v>749</v>
      </c>
      <c r="D485" s="512">
        <v>218000</v>
      </c>
      <c r="E485" s="512">
        <v>0</v>
      </c>
      <c r="F485" s="512"/>
      <c r="G485" s="512">
        <v>22110</v>
      </c>
      <c r="H485" s="512" t="s">
        <v>272</v>
      </c>
      <c r="I485" s="512"/>
      <c r="J485" s="512" t="s">
        <v>201</v>
      </c>
      <c r="K485" s="512" t="b">
        <v>0</v>
      </c>
      <c r="L485" s="512">
        <v>9</v>
      </c>
      <c r="M485" s="513">
        <v>2031</v>
      </c>
      <c r="N485" s="514">
        <v>0</v>
      </c>
      <c r="O485" s="515">
        <v>44620</v>
      </c>
      <c r="P485" s="515">
        <v>44620</v>
      </c>
      <c r="Q485" s="516">
        <v>0</v>
      </c>
    </row>
    <row r="486" spans="1:17" ht="16.5">
      <c r="A486" s="9">
        <v>2022</v>
      </c>
      <c r="B486" s="10" t="s">
        <v>748</v>
      </c>
      <c r="C486" s="511" t="s">
        <v>749</v>
      </c>
      <c r="D486" s="512">
        <v>218000</v>
      </c>
      <c r="E486" s="512">
        <v>0</v>
      </c>
      <c r="F486" s="512"/>
      <c r="G486" s="512">
        <v>22110</v>
      </c>
      <c r="H486" s="512" t="s">
        <v>272</v>
      </c>
      <c r="I486" s="512"/>
      <c r="J486" s="512" t="s">
        <v>201</v>
      </c>
      <c r="K486" s="512" t="b">
        <v>0</v>
      </c>
      <c r="L486" s="512">
        <v>6</v>
      </c>
      <c r="M486" s="513">
        <v>2028</v>
      </c>
      <c r="N486" s="514">
        <v>0</v>
      </c>
      <c r="O486" s="515">
        <v>44620</v>
      </c>
      <c r="P486" s="515">
        <v>44620</v>
      </c>
      <c r="Q486" s="516">
        <v>0</v>
      </c>
    </row>
    <row r="487" spans="1:17" ht="16.5">
      <c r="A487" s="9">
        <v>2022</v>
      </c>
      <c r="B487" s="10" t="s">
        <v>748</v>
      </c>
      <c r="C487" s="511" t="s">
        <v>749</v>
      </c>
      <c r="D487" s="512">
        <v>218000</v>
      </c>
      <c r="E487" s="512">
        <v>0</v>
      </c>
      <c r="F487" s="512"/>
      <c r="G487" s="512">
        <v>83100</v>
      </c>
      <c r="H487" s="512" t="s">
        <v>281</v>
      </c>
      <c r="I487" s="512"/>
      <c r="J487" s="512" t="s">
        <v>766</v>
      </c>
      <c r="K487" s="512" t="b">
        <v>0</v>
      </c>
      <c r="L487" s="512">
        <v>2</v>
      </c>
      <c r="M487" s="513">
        <v>2024</v>
      </c>
      <c r="N487" s="514">
        <v>0.15359999999999999</v>
      </c>
      <c r="O487" s="515">
        <v>44620</v>
      </c>
      <c r="P487" s="515">
        <v>44620</v>
      </c>
      <c r="Q487" s="516">
        <v>0</v>
      </c>
    </row>
    <row r="488" spans="1:17" ht="16.5">
      <c r="A488" s="9">
        <v>2022</v>
      </c>
      <c r="B488" s="10" t="s">
        <v>748</v>
      </c>
      <c r="C488" s="511" t="s">
        <v>749</v>
      </c>
      <c r="D488" s="512">
        <v>218000</v>
      </c>
      <c r="E488" s="512">
        <v>0</v>
      </c>
      <c r="F488" s="512"/>
      <c r="G488" s="512">
        <v>83100</v>
      </c>
      <c r="H488" s="512" t="s">
        <v>281</v>
      </c>
      <c r="I488" s="512"/>
      <c r="J488" s="512" t="s">
        <v>766</v>
      </c>
      <c r="K488" s="512" t="b">
        <v>0</v>
      </c>
      <c r="L488" s="512">
        <v>4</v>
      </c>
      <c r="M488" s="513">
        <v>2026</v>
      </c>
      <c r="N488" s="514">
        <v>0.11749999999999999</v>
      </c>
      <c r="O488" s="515">
        <v>44620</v>
      </c>
      <c r="P488" s="515">
        <v>44620</v>
      </c>
      <c r="Q488" s="516">
        <v>0</v>
      </c>
    </row>
    <row r="489" spans="1:17" ht="16.5">
      <c r="A489" s="9">
        <v>2022</v>
      </c>
      <c r="B489" s="10" t="s">
        <v>748</v>
      </c>
      <c r="C489" s="511" t="s">
        <v>749</v>
      </c>
      <c r="D489" s="512">
        <v>218000</v>
      </c>
      <c r="E489" s="512">
        <v>0</v>
      </c>
      <c r="F489" s="512"/>
      <c r="G489" s="512">
        <v>83100</v>
      </c>
      <c r="H489" s="512" t="s">
        <v>281</v>
      </c>
      <c r="I489" s="512"/>
      <c r="J489" s="512" t="s">
        <v>766</v>
      </c>
      <c r="K489" s="512" t="b">
        <v>0</v>
      </c>
      <c r="L489" s="512">
        <v>5</v>
      </c>
      <c r="M489" s="513">
        <v>2027</v>
      </c>
      <c r="N489" s="514">
        <v>0.10539999999999999</v>
      </c>
      <c r="O489" s="515">
        <v>44620</v>
      </c>
      <c r="P489" s="515">
        <v>44620</v>
      </c>
      <c r="Q489" s="516">
        <v>0</v>
      </c>
    </row>
    <row r="490" spans="1:17" ht="16.5">
      <c r="A490" s="9">
        <v>2022</v>
      </c>
      <c r="B490" s="10" t="s">
        <v>748</v>
      </c>
      <c r="C490" s="511" t="s">
        <v>749</v>
      </c>
      <c r="D490" s="512">
        <v>218000</v>
      </c>
      <c r="E490" s="512">
        <v>0</v>
      </c>
      <c r="F490" s="512"/>
      <c r="G490" s="512">
        <v>83100</v>
      </c>
      <c r="H490" s="512" t="s">
        <v>281</v>
      </c>
      <c r="I490" s="512"/>
      <c r="J490" s="512" t="s">
        <v>766</v>
      </c>
      <c r="K490" s="512" t="b">
        <v>0</v>
      </c>
      <c r="L490" s="512">
        <v>8</v>
      </c>
      <c r="M490" s="513">
        <v>2030</v>
      </c>
      <c r="N490" s="514">
        <v>0.10050000000000001</v>
      </c>
      <c r="O490" s="515">
        <v>44620</v>
      </c>
      <c r="P490" s="515">
        <v>44620</v>
      </c>
      <c r="Q490" s="516">
        <v>0</v>
      </c>
    </row>
    <row r="491" spans="1:17" ht="16.5">
      <c r="A491" s="9">
        <v>2022</v>
      </c>
      <c r="B491" s="10" t="s">
        <v>748</v>
      </c>
      <c r="C491" s="511" t="s">
        <v>749</v>
      </c>
      <c r="D491" s="512">
        <v>218000</v>
      </c>
      <c r="E491" s="512">
        <v>0</v>
      </c>
      <c r="F491" s="512"/>
      <c r="G491" s="512">
        <v>83100</v>
      </c>
      <c r="H491" s="512" t="s">
        <v>281</v>
      </c>
      <c r="I491" s="512"/>
      <c r="J491" s="512" t="s">
        <v>766</v>
      </c>
      <c r="K491" s="512" t="b">
        <v>0</v>
      </c>
      <c r="L491" s="512">
        <v>3</v>
      </c>
      <c r="M491" s="513">
        <v>2025</v>
      </c>
      <c r="N491" s="514">
        <v>0.1444</v>
      </c>
      <c r="O491" s="515">
        <v>44620</v>
      </c>
      <c r="P491" s="515">
        <v>44620</v>
      </c>
      <c r="Q491" s="516">
        <v>0</v>
      </c>
    </row>
    <row r="492" spans="1:17" ht="16.5">
      <c r="A492" s="9">
        <v>2022</v>
      </c>
      <c r="B492" s="10" t="s">
        <v>748</v>
      </c>
      <c r="C492" s="511" t="s">
        <v>749</v>
      </c>
      <c r="D492" s="512">
        <v>218000</v>
      </c>
      <c r="E492" s="512">
        <v>0</v>
      </c>
      <c r="F492" s="512"/>
      <c r="G492" s="512">
        <v>83100</v>
      </c>
      <c r="H492" s="512" t="s">
        <v>281</v>
      </c>
      <c r="I492" s="512"/>
      <c r="J492" s="512" t="s">
        <v>766</v>
      </c>
      <c r="K492" s="512" t="b">
        <v>0</v>
      </c>
      <c r="L492" s="512">
        <v>10</v>
      </c>
      <c r="M492" s="513">
        <v>2032</v>
      </c>
      <c r="N492" s="514">
        <v>0.1174</v>
      </c>
      <c r="O492" s="515">
        <v>44620</v>
      </c>
      <c r="P492" s="515">
        <v>44620</v>
      </c>
      <c r="Q492" s="516">
        <v>0</v>
      </c>
    </row>
    <row r="493" spans="1:17" ht="16.5">
      <c r="A493" s="9">
        <v>2022</v>
      </c>
      <c r="B493" s="10" t="s">
        <v>748</v>
      </c>
      <c r="C493" s="511" t="s">
        <v>749</v>
      </c>
      <c r="D493" s="512">
        <v>218000</v>
      </c>
      <c r="E493" s="512">
        <v>0</v>
      </c>
      <c r="F493" s="512"/>
      <c r="G493" s="512">
        <v>83100</v>
      </c>
      <c r="H493" s="512" t="s">
        <v>281</v>
      </c>
      <c r="I493" s="512"/>
      <c r="J493" s="512" t="s">
        <v>766</v>
      </c>
      <c r="K493" s="512" t="b">
        <v>0</v>
      </c>
      <c r="L493" s="512">
        <v>6</v>
      </c>
      <c r="M493" s="513">
        <v>2028</v>
      </c>
      <c r="N493" s="514">
        <v>0.1003</v>
      </c>
      <c r="O493" s="515">
        <v>44620</v>
      </c>
      <c r="P493" s="515">
        <v>44620</v>
      </c>
      <c r="Q493" s="516">
        <v>0</v>
      </c>
    </row>
    <row r="494" spans="1:17" ht="16.5">
      <c r="A494" s="9">
        <v>2022</v>
      </c>
      <c r="B494" s="10" t="s">
        <v>748</v>
      </c>
      <c r="C494" s="511" t="s">
        <v>749</v>
      </c>
      <c r="D494" s="512">
        <v>218000</v>
      </c>
      <c r="E494" s="512">
        <v>0</v>
      </c>
      <c r="F494" s="512"/>
      <c r="G494" s="512">
        <v>83100</v>
      </c>
      <c r="H494" s="512" t="s">
        <v>281</v>
      </c>
      <c r="I494" s="512"/>
      <c r="J494" s="512" t="s">
        <v>766</v>
      </c>
      <c r="K494" s="512" t="b">
        <v>0</v>
      </c>
      <c r="L494" s="512">
        <v>1</v>
      </c>
      <c r="M494" s="513">
        <v>2023</v>
      </c>
      <c r="N494" s="514">
        <v>0.16789999999999999</v>
      </c>
      <c r="O494" s="515">
        <v>44620</v>
      </c>
      <c r="P494" s="515">
        <v>44620</v>
      </c>
      <c r="Q494" s="516">
        <v>0</v>
      </c>
    </row>
    <row r="495" spans="1:17" ht="16.5">
      <c r="A495" s="9">
        <v>2022</v>
      </c>
      <c r="B495" s="10" t="s">
        <v>748</v>
      </c>
      <c r="C495" s="511" t="s">
        <v>749</v>
      </c>
      <c r="D495" s="512">
        <v>218000</v>
      </c>
      <c r="E495" s="512">
        <v>0</v>
      </c>
      <c r="F495" s="512"/>
      <c r="G495" s="512">
        <v>83100</v>
      </c>
      <c r="H495" s="512" t="s">
        <v>281</v>
      </c>
      <c r="I495" s="512"/>
      <c r="J495" s="512" t="s">
        <v>766</v>
      </c>
      <c r="K495" s="512" t="b">
        <v>0</v>
      </c>
      <c r="L495" s="512">
        <v>11</v>
      </c>
      <c r="M495" s="513">
        <v>2033</v>
      </c>
      <c r="N495" s="514">
        <v>0.12470000000000001</v>
      </c>
      <c r="O495" s="515">
        <v>44620</v>
      </c>
      <c r="P495" s="515">
        <v>44620</v>
      </c>
      <c r="Q495" s="516">
        <v>0</v>
      </c>
    </row>
    <row r="496" spans="1:17" ht="16.5">
      <c r="A496" s="9">
        <v>2022</v>
      </c>
      <c r="B496" s="10" t="s">
        <v>748</v>
      </c>
      <c r="C496" s="511" t="s">
        <v>749</v>
      </c>
      <c r="D496" s="512">
        <v>218000</v>
      </c>
      <c r="E496" s="512">
        <v>0</v>
      </c>
      <c r="F496" s="512"/>
      <c r="G496" s="512">
        <v>83100</v>
      </c>
      <c r="H496" s="512" t="s">
        <v>281</v>
      </c>
      <c r="I496" s="512"/>
      <c r="J496" s="512" t="s">
        <v>766</v>
      </c>
      <c r="K496" s="512" t="b">
        <v>0</v>
      </c>
      <c r="L496" s="512">
        <v>9</v>
      </c>
      <c r="M496" s="513">
        <v>2031</v>
      </c>
      <c r="N496" s="514">
        <v>0.1086</v>
      </c>
      <c r="O496" s="515">
        <v>44620</v>
      </c>
      <c r="P496" s="515">
        <v>44620</v>
      </c>
      <c r="Q496" s="516">
        <v>0</v>
      </c>
    </row>
    <row r="497" spans="1:17" ht="16.5">
      <c r="A497" s="9">
        <v>2022</v>
      </c>
      <c r="B497" s="10" t="s">
        <v>748</v>
      </c>
      <c r="C497" s="511" t="s">
        <v>749</v>
      </c>
      <c r="D497" s="512">
        <v>218000</v>
      </c>
      <c r="E497" s="512">
        <v>0</v>
      </c>
      <c r="F497" s="512"/>
      <c r="G497" s="512">
        <v>83100</v>
      </c>
      <c r="H497" s="512" t="s">
        <v>281</v>
      </c>
      <c r="I497" s="512"/>
      <c r="J497" s="512" t="s">
        <v>766</v>
      </c>
      <c r="K497" s="512" t="b">
        <v>0</v>
      </c>
      <c r="L497" s="512">
        <v>7</v>
      </c>
      <c r="M497" s="513">
        <v>2029</v>
      </c>
      <c r="N497" s="514">
        <v>8.9300000000000004E-2</v>
      </c>
      <c r="O497" s="515">
        <v>44620</v>
      </c>
      <c r="P497" s="515">
        <v>44620</v>
      </c>
      <c r="Q497" s="516">
        <v>0</v>
      </c>
    </row>
    <row r="498" spans="1:17" ht="16.5">
      <c r="A498" s="9">
        <v>2022</v>
      </c>
      <c r="B498" s="10" t="s">
        <v>748</v>
      </c>
      <c r="C498" s="511" t="s">
        <v>749</v>
      </c>
      <c r="D498" s="512">
        <v>218000</v>
      </c>
      <c r="E498" s="512">
        <v>0</v>
      </c>
      <c r="F498" s="512"/>
      <c r="G498" s="512">
        <v>83100</v>
      </c>
      <c r="H498" s="512" t="s">
        <v>281</v>
      </c>
      <c r="I498" s="512"/>
      <c r="J498" s="512" t="s">
        <v>766</v>
      </c>
      <c r="K498" s="512" t="b">
        <v>0</v>
      </c>
      <c r="L498" s="512">
        <v>0</v>
      </c>
      <c r="M498" s="513">
        <v>2022</v>
      </c>
      <c r="N498" s="514">
        <v>0.1769</v>
      </c>
      <c r="O498" s="515">
        <v>44620</v>
      </c>
      <c r="P498" s="515">
        <v>44620</v>
      </c>
      <c r="Q498" s="516">
        <v>0</v>
      </c>
    </row>
    <row r="499" spans="1:17" ht="16.5">
      <c r="A499" s="9">
        <v>2022</v>
      </c>
      <c r="B499" s="10" t="s">
        <v>748</v>
      </c>
      <c r="C499" s="511" t="s">
        <v>749</v>
      </c>
      <c r="D499" s="512">
        <v>218000</v>
      </c>
      <c r="E499" s="512">
        <v>0</v>
      </c>
      <c r="F499" s="512"/>
      <c r="G499" s="512">
        <v>105000</v>
      </c>
      <c r="H499" s="512">
        <v>10.5</v>
      </c>
      <c r="I499" s="512"/>
      <c r="J499" s="512" t="s">
        <v>251</v>
      </c>
      <c r="K499" s="512" t="b">
        <v>1</v>
      </c>
      <c r="L499" s="512">
        <v>3</v>
      </c>
      <c r="M499" s="513">
        <v>2025</v>
      </c>
      <c r="N499" s="514">
        <v>0</v>
      </c>
      <c r="O499" s="515">
        <v>44620</v>
      </c>
      <c r="P499" s="515">
        <v>44620</v>
      </c>
      <c r="Q499" s="516">
        <v>0</v>
      </c>
    </row>
    <row r="500" spans="1:17" ht="16.5">
      <c r="A500" s="9">
        <v>2022</v>
      </c>
      <c r="B500" s="10" t="s">
        <v>748</v>
      </c>
      <c r="C500" s="511" t="s">
        <v>749</v>
      </c>
      <c r="D500" s="512">
        <v>218000</v>
      </c>
      <c r="E500" s="512">
        <v>0</v>
      </c>
      <c r="F500" s="512"/>
      <c r="G500" s="512">
        <v>105000</v>
      </c>
      <c r="H500" s="512">
        <v>10.5</v>
      </c>
      <c r="I500" s="512"/>
      <c r="J500" s="512" t="s">
        <v>251</v>
      </c>
      <c r="K500" s="512" t="b">
        <v>1</v>
      </c>
      <c r="L500" s="512">
        <v>4</v>
      </c>
      <c r="M500" s="513">
        <v>2026</v>
      </c>
      <c r="N500" s="514">
        <v>0</v>
      </c>
      <c r="O500" s="515">
        <v>44620</v>
      </c>
      <c r="P500" s="515">
        <v>44620</v>
      </c>
      <c r="Q500" s="516">
        <v>0</v>
      </c>
    </row>
    <row r="501" spans="1:17" ht="16.5">
      <c r="A501" s="9">
        <v>2022</v>
      </c>
      <c r="B501" s="10" t="s">
        <v>748</v>
      </c>
      <c r="C501" s="511" t="s">
        <v>749</v>
      </c>
      <c r="D501" s="512">
        <v>218000</v>
      </c>
      <c r="E501" s="512">
        <v>0</v>
      </c>
      <c r="F501" s="512"/>
      <c r="G501" s="512">
        <v>105000</v>
      </c>
      <c r="H501" s="512">
        <v>10.5</v>
      </c>
      <c r="I501" s="512"/>
      <c r="J501" s="512" t="s">
        <v>251</v>
      </c>
      <c r="K501" s="512" t="b">
        <v>1</v>
      </c>
      <c r="L501" s="512">
        <v>9</v>
      </c>
      <c r="M501" s="513">
        <v>2031</v>
      </c>
      <c r="N501" s="514">
        <v>0</v>
      </c>
      <c r="O501" s="515">
        <v>44620</v>
      </c>
      <c r="P501" s="515">
        <v>44620</v>
      </c>
      <c r="Q501" s="516">
        <v>0</v>
      </c>
    </row>
    <row r="502" spans="1:17" ht="16.5">
      <c r="A502" s="9">
        <v>2022</v>
      </c>
      <c r="B502" s="10" t="s">
        <v>748</v>
      </c>
      <c r="C502" s="511" t="s">
        <v>749</v>
      </c>
      <c r="D502" s="512">
        <v>218000</v>
      </c>
      <c r="E502" s="512">
        <v>0</v>
      </c>
      <c r="F502" s="512"/>
      <c r="G502" s="512">
        <v>105000</v>
      </c>
      <c r="H502" s="512">
        <v>10.5</v>
      </c>
      <c r="I502" s="512"/>
      <c r="J502" s="512" t="s">
        <v>251</v>
      </c>
      <c r="K502" s="512" t="b">
        <v>1</v>
      </c>
      <c r="L502" s="512">
        <v>5</v>
      </c>
      <c r="M502" s="513">
        <v>2027</v>
      </c>
      <c r="N502" s="514">
        <v>0</v>
      </c>
      <c r="O502" s="515">
        <v>44620</v>
      </c>
      <c r="P502" s="515">
        <v>44620</v>
      </c>
      <c r="Q502" s="516">
        <v>0</v>
      </c>
    </row>
    <row r="503" spans="1:17" ht="16.5">
      <c r="A503" s="9">
        <v>2022</v>
      </c>
      <c r="B503" s="10" t="s">
        <v>748</v>
      </c>
      <c r="C503" s="511" t="s">
        <v>749</v>
      </c>
      <c r="D503" s="512">
        <v>218000</v>
      </c>
      <c r="E503" s="512">
        <v>0</v>
      </c>
      <c r="F503" s="512"/>
      <c r="G503" s="512">
        <v>105000</v>
      </c>
      <c r="H503" s="512">
        <v>10.5</v>
      </c>
      <c r="I503" s="512"/>
      <c r="J503" s="512" t="s">
        <v>251</v>
      </c>
      <c r="K503" s="512" t="b">
        <v>1</v>
      </c>
      <c r="L503" s="512">
        <v>2</v>
      </c>
      <c r="M503" s="513">
        <v>2024</v>
      </c>
      <c r="N503" s="514">
        <v>0</v>
      </c>
      <c r="O503" s="515">
        <v>44620</v>
      </c>
      <c r="P503" s="515">
        <v>44620</v>
      </c>
      <c r="Q503" s="516">
        <v>0</v>
      </c>
    </row>
    <row r="504" spans="1:17" ht="16.5">
      <c r="A504" s="9">
        <v>2022</v>
      </c>
      <c r="B504" s="10" t="s">
        <v>748</v>
      </c>
      <c r="C504" s="511" t="s">
        <v>749</v>
      </c>
      <c r="D504" s="512">
        <v>218000</v>
      </c>
      <c r="E504" s="512">
        <v>0</v>
      </c>
      <c r="F504" s="512"/>
      <c r="G504" s="512">
        <v>105000</v>
      </c>
      <c r="H504" s="512">
        <v>10.5</v>
      </c>
      <c r="I504" s="512"/>
      <c r="J504" s="512" t="s">
        <v>251</v>
      </c>
      <c r="K504" s="512" t="b">
        <v>1</v>
      </c>
      <c r="L504" s="512">
        <v>11</v>
      </c>
      <c r="M504" s="513">
        <v>2033</v>
      </c>
      <c r="N504" s="514">
        <v>0</v>
      </c>
      <c r="O504" s="515">
        <v>44620</v>
      </c>
      <c r="P504" s="515">
        <v>44620</v>
      </c>
      <c r="Q504" s="516">
        <v>0</v>
      </c>
    </row>
    <row r="505" spans="1:17" ht="16.5">
      <c r="A505" s="9">
        <v>2022</v>
      </c>
      <c r="B505" s="10" t="s">
        <v>748</v>
      </c>
      <c r="C505" s="511" t="s">
        <v>749</v>
      </c>
      <c r="D505" s="512">
        <v>218000</v>
      </c>
      <c r="E505" s="512">
        <v>0</v>
      </c>
      <c r="F505" s="512"/>
      <c r="G505" s="512">
        <v>105000</v>
      </c>
      <c r="H505" s="512">
        <v>10.5</v>
      </c>
      <c r="I505" s="512"/>
      <c r="J505" s="512" t="s">
        <v>251</v>
      </c>
      <c r="K505" s="512" t="b">
        <v>1</v>
      </c>
      <c r="L505" s="512">
        <v>10</v>
      </c>
      <c r="M505" s="513">
        <v>2032</v>
      </c>
      <c r="N505" s="514">
        <v>0</v>
      </c>
      <c r="O505" s="515">
        <v>44620</v>
      </c>
      <c r="P505" s="515">
        <v>44620</v>
      </c>
      <c r="Q505" s="516">
        <v>0</v>
      </c>
    </row>
    <row r="506" spans="1:17" ht="16.5">
      <c r="A506" s="9">
        <v>2022</v>
      </c>
      <c r="B506" s="10" t="s">
        <v>748</v>
      </c>
      <c r="C506" s="511" t="s">
        <v>749</v>
      </c>
      <c r="D506" s="512">
        <v>218000</v>
      </c>
      <c r="E506" s="512">
        <v>0</v>
      </c>
      <c r="F506" s="512"/>
      <c r="G506" s="512">
        <v>105000</v>
      </c>
      <c r="H506" s="512">
        <v>10.5</v>
      </c>
      <c r="I506" s="512"/>
      <c r="J506" s="512" t="s">
        <v>251</v>
      </c>
      <c r="K506" s="512" t="b">
        <v>1</v>
      </c>
      <c r="L506" s="512">
        <v>8</v>
      </c>
      <c r="M506" s="513">
        <v>2030</v>
      </c>
      <c r="N506" s="514">
        <v>0</v>
      </c>
      <c r="O506" s="515">
        <v>44620</v>
      </c>
      <c r="P506" s="515">
        <v>44620</v>
      </c>
      <c r="Q506" s="516">
        <v>0</v>
      </c>
    </row>
    <row r="507" spans="1:17" ht="16.5">
      <c r="A507" s="9">
        <v>2022</v>
      </c>
      <c r="B507" s="10" t="s">
        <v>748</v>
      </c>
      <c r="C507" s="511" t="s">
        <v>749</v>
      </c>
      <c r="D507" s="512">
        <v>218000</v>
      </c>
      <c r="E507" s="512">
        <v>0</v>
      </c>
      <c r="F507" s="512"/>
      <c r="G507" s="512">
        <v>105000</v>
      </c>
      <c r="H507" s="512">
        <v>10.5</v>
      </c>
      <c r="I507" s="512"/>
      <c r="J507" s="512" t="s">
        <v>251</v>
      </c>
      <c r="K507" s="512" t="b">
        <v>1</v>
      </c>
      <c r="L507" s="512">
        <v>1</v>
      </c>
      <c r="M507" s="513">
        <v>2023</v>
      </c>
      <c r="N507" s="514">
        <v>0</v>
      </c>
      <c r="O507" s="515">
        <v>44620</v>
      </c>
      <c r="P507" s="515">
        <v>44620</v>
      </c>
      <c r="Q507" s="516">
        <v>0</v>
      </c>
    </row>
    <row r="508" spans="1:17" ht="16.5">
      <c r="A508" s="9">
        <v>2022</v>
      </c>
      <c r="B508" s="10" t="s">
        <v>748</v>
      </c>
      <c r="C508" s="511" t="s">
        <v>749</v>
      </c>
      <c r="D508" s="512">
        <v>218000</v>
      </c>
      <c r="E508" s="512">
        <v>0</v>
      </c>
      <c r="F508" s="512"/>
      <c r="G508" s="512">
        <v>105000</v>
      </c>
      <c r="H508" s="512">
        <v>10.5</v>
      </c>
      <c r="I508" s="512"/>
      <c r="J508" s="512" t="s">
        <v>251</v>
      </c>
      <c r="K508" s="512" t="b">
        <v>1</v>
      </c>
      <c r="L508" s="512">
        <v>6</v>
      </c>
      <c r="M508" s="513">
        <v>2028</v>
      </c>
      <c r="N508" s="514">
        <v>0</v>
      </c>
      <c r="O508" s="515">
        <v>44620</v>
      </c>
      <c r="P508" s="515">
        <v>44620</v>
      </c>
      <c r="Q508" s="516">
        <v>0</v>
      </c>
    </row>
    <row r="509" spans="1:17" ht="16.5">
      <c r="A509" s="9">
        <v>2022</v>
      </c>
      <c r="B509" s="10" t="s">
        <v>748</v>
      </c>
      <c r="C509" s="511" t="s">
        <v>749</v>
      </c>
      <c r="D509" s="512">
        <v>218000</v>
      </c>
      <c r="E509" s="512">
        <v>0</v>
      </c>
      <c r="F509" s="512"/>
      <c r="G509" s="512">
        <v>105000</v>
      </c>
      <c r="H509" s="512">
        <v>10.5</v>
      </c>
      <c r="I509" s="512"/>
      <c r="J509" s="512" t="s">
        <v>251</v>
      </c>
      <c r="K509" s="512" t="b">
        <v>1</v>
      </c>
      <c r="L509" s="512">
        <v>7</v>
      </c>
      <c r="M509" s="513">
        <v>2029</v>
      </c>
      <c r="N509" s="514">
        <v>0</v>
      </c>
      <c r="O509" s="515">
        <v>44620</v>
      </c>
      <c r="P509" s="515">
        <v>44620</v>
      </c>
      <c r="Q509" s="516">
        <v>0</v>
      </c>
    </row>
    <row r="510" spans="1:17" ht="16.5">
      <c r="A510" s="9">
        <v>2022</v>
      </c>
      <c r="B510" s="10" t="s">
        <v>748</v>
      </c>
      <c r="C510" s="511" t="s">
        <v>749</v>
      </c>
      <c r="D510" s="512">
        <v>218000</v>
      </c>
      <c r="E510" s="512">
        <v>0</v>
      </c>
      <c r="F510" s="512"/>
      <c r="G510" s="512">
        <v>105000</v>
      </c>
      <c r="H510" s="512">
        <v>10.5</v>
      </c>
      <c r="I510" s="512"/>
      <c r="J510" s="512" t="s">
        <v>251</v>
      </c>
      <c r="K510" s="512" t="b">
        <v>1</v>
      </c>
      <c r="L510" s="512">
        <v>0</v>
      </c>
      <c r="M510" s="513">
        <v>2022</v>
      </c>
      <c r="N510" s="514">
        <v>0</v>
      </c>
      <c r="O510" s="515">
        <v>44620</v>
      </c>
      <c r="P510" s="515">
        <v>44620</v>
      </c>
      <c r="Q510" s="516">
        <v>0</v>
      </c>
    </row>
    <row r="511" spans="1:17" ht="16.5">
      <c r="A511" s="9">
        <v>2022</v>
      </c>
      <c r="B511" s="10" t="s">
        <v>748</v>
      </c>
      <c r="C511" s="511" t="s">
        <v>749</v>
      </c>
      <c r="D511" s="512">
        <v>218000</v>
      </c>
      <c r="E511" s="512">
        <v>0</v>
      </c>
      <c r="F511" s="512"/>
      <c r="G511" s="512">
        <v>71000</v>
      </c>
      <c r="H511" s="512">
        <v>7.1</v>
      </c>
      <c r="I511" s="512" t="s">
        <v>767</v>
      </c>
      <c r="J511" s="512" t="s">
        <v>221</v>
      </c>
      <c r="K511" s="512" t="b">
        <v>0</v>
      </c>
      <c r="L511" s="512">
        <v>11</v>
      </c>
      <c r="M511" s="513">
        <v>2033</v>
      </c>
      <c r="N511" s="514">
        <v>7165107</v>
      </c>
      <c r="O511" s="515">
        <v>44620</v>
      </c>
      <c r="P511" s="515">
        <v>44620</v>
      </c>
      <c r="Q511" s="516">
        <v>0</v>
      </c>
    </row>
    <row r="512" spans="1:17" ht="16.5">
      <c r="A512" s="9">
        <v>2022</v>
      </c>
      <c r="B512" s="10" t="s">
        <v>748</v>
      </c>
      <c r="C512" s="511" t="s">
        <v>749</v>
      </c>
      <c r="D512" s="512">
        <v>218000</v>
      </c>
      <c r="E512" s="512">
        <v>0</v>
      </c>
      <c r="F512" s="512"/>
      <c r="G512" s="512">
        <v>71000</v>
      </c>
      <c r="H512" s="512">
        <v>7.1</v>
      </c>
      <c r="I512" s="512" t="s">
        <v>767</v>
      </c>
      <c r="J512" s="512" t="s">
        <v>221</v>
      </c>
      <c r="K512" s="512" t="b">
        <v>0</v>
      </c>
      <c r="L512" s="512">
        <v>1</v>
      </c>
      <c r="M512" s="513">
        <v>2023</v>
      </c>
      <c r="N512" s="514">
        <v>1904854</v>
      </c>
      <c r="O512" s="515">
        <v>44620</v>
      </c>
      <c r="P512" s="515">
        <v>44620</v>
      </c>
      <c r="Q512" s="516">
        <v>0</v>
      </c>
    </row>
    <row r="513" spans="1:17" ht="16.5">
      <c r="A513" s="9">
        <v>2022</v>
      </c>
      <c r="B513" s="10" t="s">
        <v>748</v>
      </c>
      <c r="C513" s="511" t="s">
        <v>749</v>
      </c>
      <c r="D513" s="512">
        <v>218000</v>
      </c>
      <c r="E513" s="512">
        <v>0</v>
      </c>
      <c r="F513" s="512"/>
      <c r="G513" s="512">
        <v>71000</v>
      </c>
      <c r="H513" s="512">
        <v>7.1</v>
      </c>
      <c r="I513" s="512" t="s">
        <v>767</v>
      </c>
      <c r="J513" s="512" t="s">
        <v>221</v>
      </c>
      <c r="K513" s="512" t="b">
        <v>0</v>
      </c>
      <c r="L513" s="512">
        <v>9</v>
      </c>
      <c r="M513" s="513">
        <v>2031</v>
      </c>
      <c r="N513" s="514">
        <v>6514120</v>
      </c>
      <c r="O513" s="515">
        <v>44620</v>
      </c>
      <c r="P513" s="515">
        <v>44620</v>
      </c>
      <c r="Q513" s="516">
        <v>0</v>
      </c>
    </row>
    <row r="514" spans="1:17" ht="16.5">
      <c r="A514" s="9">
        <v>2022</v>
      </c>
      <c r="B514" s="10" t="s">
        <v>748</v>
      </c>
      <c r="C514" s="511" t="s">
        <v>749</v>
      </c>
      <c r="D514" s="512">
        <v>218000</v>
      </c>
      <c r="E514" s="512">
        <v>0</v>
      </c>
      <c r="F514" s="512"/>
      <c r="G514" s="512">
        <v>71000</v>
      </c>
      <c r="H514" s="512">
        <v>7.1</v>
      </c>
      <c r="I514" s="512" t="s">
        <v>767</v>
      </c>
      <c r="J514" s="512" t="s">
        <v>221</v>
      </c>
      <c r="K514" s="512" t="b">
        <v>0</v>
      </c>
      <c r="L514" s="512">
        <v>0</v>
      </c>
      <c r="M514" s="513">
        <v>2022</v>
      </c>
      <c r="N514" s="514">
        <v>1058265</v>
      </c>
      <c r="O514" s="515">
        <v>44620</v>
      </c>
      <c r="P514" s="515">
        <v>44620</v>
      </c>
      <c r="Q514" s="516">
        <v>0</v>
      </c>
    </row>
    <row r="515" spans="1:17" ht="16.5">
      <c r="A515" s="9">
        <v>2022</v>
      </c>
      <c r="B515" s="10" t="s">
        <v>748</v>
      </c>
      <c r="C515" s="511" t="s">
        <v>749</v>
      </c>
      <c r="D515" s="512">
        <v>218000</v>
      </c>
      <c r="E515" s="512">
        <v>0</v>
      </c>
      <c r="F515" s="512"/>
      <c r="G515" s="512">
        <v>71000</v>
      </c>
      <c r="H515" s="512">
        <v>7.1</v>
      </c>
      <c r="I515" s="512" t="s">
        <v>767</v>
      </c>
      <c r="J515" s="512" t="s">
        <v>221</v>
      </c>
      <c r="K515" s="512" t="b">
        <v>0</v>
      </c>
      <c r="L515" s="512">
        <v>7</v>
      </c>
      <c r="M515" s="513">
        <v>2029</v>
      </c>
      <c r="N515" s="514">
        <v>5690393</v>
      </c>
      <c r="O515" s="515">
        <v>44620</v>
      </c>
      <c r="P515" s="515">
        <v>44620</v>
      </c>
      <c r="Q515" s="516">
        <v>0</v>
      </c>
    </row>
    <row r="516" spans="1:17" ht="16.5">
      <c r="A516" s="9">
        <v>2022</v>
      </c>
      <c r="B516" s="10" t="s">
        <v>748</v>
      </c>
      <c r="C516" s="511" t="s">
        <v>749</v>
      </c>
      <c r="D516" s="512">
        <v>218000</v>
      </c>
      <c r="E516" s="512">
        <v>0</v>
      </c>
      <c r="F516" s="512"/>
      <c r="G516" s="512">
        <v>71000</v>
      </c>
      <c r="H516" s="512">
        <v>7.1</v>
      </c>
      <c r="I516" s="512" t="s">
        <v>767</v>
      </c>
      <c r="J516" s="512" t="s">
        <v>221</v>
      </c>
      <c r="K516" s="512" t="b">
        <v>0</v>
      </c>
      <c r="L516" s="512">
        <v>5</v>
      </c>
      <c r="M516" s="513">
        <v>2027</v>
      </c>
      <c r="N516" s="514">
        <v>4498543</v>
      </c>
      <c r="O516" s="515">
        <v>44620</v>
      </c>
      <c r="P516" s="515">
        <v>44620</v>
      </c>
      <c r="Q516" s="516">
        <v>0</v>
      </c>
    </row>
    <row r="517" spans="1:17" ht="16.5">
      <c r="A517" s="9">
        <v>2022</v>
      </c>
      <c r="B517" s="10" t="s">
        <v>748</v>
      </c>
      <c r="C517" s="511" t="s">
        <v>749</v>
      </c>
      <c r="D517" s="512">
        <v>218000</v>
      </c>
      <c r="E517" s="512">
        <v>0</v>
      </c>
      <c r="F517" s="512"/>
      <c r="G517" s="512">
        <v>71000</v>
      </c>
      <c r="H517" s="512">
        <v>7.1</v>
      </c>
      <c r="I517" s="512" t="s">
        <v>767</v>
      </c>
      <c r="J517" s="512" t="s">
        <v>221</v>
      </c>
      <c r="K517" s="512" t="b">
        <v>0</v>
      </c>
      <c r="L517" s="512">
        <v>3</v>
      </c>
      <c r="M517" s="513">
        <v>2025</v>
      </c>
      <c r="N517" s="514">
        <v>3113533</v>
      </c>
      <c r="O517" s="515">
        <v>44620</v>
      </c>
      <c r="P517" s="515">
        <v>44620</v>
      </c>
      <c r="Q517" s="516">
        <v>0</v>
      </c>
    </row>
    <row r="518" spans="1:17" ht="16.5">
      <c r="A518" s="9">
        <v>2022</v>
      </c>
      <c r="B518" s="10" t="s">
        <v>748</v>
      </c>
      <c r="C518" s="511" t="s">
        <v>749</v>
      </c>
      <c r="D518" s="512">
        <v>218000</v>
      </c>
      <c r="E518" s="512">
        <v>0</v>
      </c>
      <c r="F518" s="512"/>
      <c r="G518" s="512">
        <v>71000</v>
      </c>
      <c r="H518" s="512">
        <v>7.1</v>
      </c>
      <c r="I518" s="512" t="s">
        <v>767</v>
      </c>
      <c r="J518" s="512" t="s">
        <v>221</v>
      </c>
      <c r="K518" s="512" t="b">
        <v>0</v>
      </c>
      <c r="L518" s="512">
        <v>10</v>
      </c>
      <c r="M518" s="513">
        <v>2032</v>
      </c>
      <c r="N518" s="514">
        <v>6861826</v>
      </c>
      <c r="O518" s="515">
        <v>44620</v>
      </c>
      <c r="P518" s="515">
        <v>44620</v>
      </c>
      <c r="Q518" s="516">
        <v>0</v>
      </c>
    </row>
    <row r="519" spans="1:17" ht="16.5">
      <c r="A519" s="9">
        <v>2022</v>
      </c>
      <c r="B519" s="10" t="s">
        <v>748</v>
      </c>
      <c r="C519" s="511" t="s">
        <v>749</v>
      </c>
      <c r="D519" s="512">
        <v>218000</v>
      </c>
      <c r="E519" s="512">
        <v>0</v>
      </c>
      <c r="F519" s="512"/>
      <c r="G519" s="512">
        <v>71000</v>
      </c>
      <c r="H519" s="512">
        <v>7.1</v>
      </c>
      <c r="I519" s="512" t="s">
        <v>767</v>
      </c>
      <c r="J519" s="512" t="s">
        <v>221</v>
      </c>
      <c r="K519" s="512" t="b">
        <v>0</v>
      </c>
      <c r="L519" s="512">
        <v>2</v>
      </c>
      <c r="M519" s="513">
        <v>2024</v>
      </c>
      <c r="N519" s="514">
        <v>2445284</v>
      </c>
      <c r="O519" s="515">
        <v>44620</v>
      </c>
      <c r="P519" s="515">
        <v>44620</v>
      </c>
      <c r="Q519" s="516">
        <v>0</v>
      </c>
    </row>
    <row r="520" spans="1:17" ht="16.5">
      <c r="A520" s="9">
        <v>2022</v>
      </c>
      <c r="B520" s="10" t="s">
        <v>748</v>
      </c>
      <c r="C520" s="511" t="s">
        <v>749</v>
      </c>
      <c r="D520" s="512">
        <v>218000</v>
      </c>
      <c r="E520" s="512">
        <v>0</v>
      </c>
      <c r="F520" s="512"/>
      <c r="G520" s="512">
        <v>71000</v>
      </c>
      <c r="H520" s="512">
        <v>7.1</v>
      </c>
      <c r="I520" s="512" t="s">
        <v>767</v>
      </c>
      <c r="J520" s="512" t="s">
        <v>221</v>
      </c>
      <c r="K520" s="512" t="b">
        <v>0</v>
      </c>
      <c r="L520" s="512">
        <v>4</v>
      </c>
      <c r="M520" s="513">
        <v>2026</v>
      </c>
      <c r="N520" s="514">
        <v>3816905</v>
      </c>
      <c r="O520" s="515">
        <v>44620</v>
      </c>
      <c r="P520" s="515">
        <v>44620</v>
      </c>
      <c r="Q520" s="516">
        <v>0</v>
      </c>
    </row>
    <row r="521" spans="1:17" ht="16.5">
      <c r="A521" s="9">
        <v>2022</v>
      </c>
      <c r="B521" s="10" t="s">
        <v>748</v>
      </c>
      <c r="C521" s="511" t="s">
        <v>749</v>
      </c>
      <c r="D521" s="512">
        <v>218000</v>
      </c>
      <c r="E521" s="512">
        <v>0</v>
      </c>
      <c r="F521" s="512"/>
      <c r="G521" s="512">
        <v>71000</v>
      </c>
      <c r="H521" s="512">
        <v>7.1</v>
      </c>
      <c r="I521" s="512" t="s">
        <v>767</v>
      </c>
      <c r="J521" s="512" t="s">
        <v>221</v>
      </c>
      <c r="K521" s="512" t="b">
        <v>0</v>
      </c>
      <c r="L521" s="512">
        <v>8</v>
      </c>
      <c r="M521" s="513">
        <v>2030</v>
      </c>
      <c r="N521" s="514">
        <v>6126926</v>
      </c>
      <c r="O521" s="515">
        <v>44620</v>
      </c>
      <c r="P521" s="515">
        <v>44620</v>
      </c>
      <c r="Q521" s="516">
        <v>0</v>
      </c>
    </row>
    <row r="522" spans="1:17" ht="16.5">
      <c r="A522" s="9">
        <v>2022</v>
      </c>
      <c r="B522" s="10" t="s">
        <v>748</v>
      </c>
      <c r="C522" s="511" t="s">
        <v>749</v>
      </c>
      <c r="D522" s="512">
        <v>218000</v>
      </c>
      <c r="E522" s="512">
        <v>0</v>
      </c>
      <c r="F522" s="512"/>
      <c r="G522" s="512">
        <v>71000</v>
      </c>
      <c r="H522" s="512">
        <v>7.1</v>
      </c>
      <c r="I522" s="512" t="s">
        <v>767</v>
      </c>
      <c r="J522" s="512" t="s">
        <v>221</v>
      </c>
      <c r="K522" s="512" t="b">
        <v>0</v>
      </c>
      <c r="L522" s="512">
        <v>6</v>
      </c>
      <c r="M522" s="513">
        <v>2028</v>
      </c>
      <c r="N522" s="514">
        <v>5146159</v>
      </c>
      <c r="O522" s="515">
        <v>44620</v>
      </c>
      <c r="P522" s="515">
        <v>44620</v>
      </c>
      <c r="Q522" s="516">
        <v>0</v>
      </c>
    </row>
    <row r="523" spans="1:17" ht="16.5">
      <c r="A523" s="9">
        <v>2022</v>
      </c>
      <c r="B523" s="10" t="s">
        <v>748</v>
      </c>
      <c r="C523" s="511" t="s">
        <v>749</v>
      </c>
      <c r="D523" s="512">
        <v>218000</v>
      </c>
      <c r="E523" s="512">
        <v>0</v>
      </c>
      <c r="F523" s="512"/>
      <c r="G523" s="512">
        <v>101100</v>
      </c>
      <c r="H523" s="512" t="s">
        <v>291</v>
      </c>
      <c r="I523" s="512"/>
      <c r="J523" s="512" t="s">
        <v>246</v>
      </c>
      <c r="K523" s="512" t="b">
        <v>1</v>
      </c>
      <c r="L523" s="512">
        <v>5</v>
      </c>
      <c r="M523" s="513">
        <v>2027</v>
      </c>
      <c r="N523" s="514">
        <v>0</v>
      </c>
      <c r="O523" s="515">
        <v>44620</v>
      </c>
      <c r="P523" s="515">
        <v>44620</v>
      </c>
      <c r="Q523" s="516">
        <v>0</v>
      </c>
    </row>
    <row r="524" spans="1:17" ht="16.5">
      <c r="A524" s="9">
        <v>2022</v>
      </c>
      <c r="B524" s="10" t="s">
        <v>748</v>
      </c>
      <c r="C524" s="511" t="s">
        <v>749</v>
      </c>
      <c r="D524" s="512">
        <v>218000</v>
      </c>
      <c r="E524" s="512">
        <v>0</v>
      </c>
      <c r="F524" s="512"/>
      <c r="G524" s="512">
        <v>101100</v>
      </c>
      <c r="H524" s="512" t="s">
        <v>291</v>
      </c>
      <c r="I524" s="512"/>
      <c r="J524" s="512" t="s">
        <v>246</v>
      </c>
      <c r="K524" s="512" t="b">
        <v>1</v>
      </c>
      <c r="L524" s="512">
        <v>1</v>
      </c>
      <c r="M524" s="513">
        <v>2023</v>
      </c>
      <c r="N524" s="514">
        <v>418220</v>
      </c>
      <c r="O524" s="515">
        <v>44620</v>
      </c>
      <c r="P524" s="515">
        <v>44620</v>
      </c>
      <c r="Q524" s="516">
        <v>0</v>
      </c>
    </row>
    <row r="525" spans="1:17" ht="16.5">
      <c r="A525" s="9">
        <v>2022</v>
      </c>
      <c r="B525" s="10" t="s">
        <v>748</v>
      </c>
      <c r="C525" s="511" t="s">
        <v>749</v>
      </c>
      <c r="D525" s="512">
        <v>218000</v>
      </c>
      <c r="E525" s="512">
        <v>0</v>
      </c>
      <c r="F525" s="512"/>
      <c r="G525" s="512">
        <v>101100</v>
      </c>
      <c r="H525" s="512" t="s">
        <v>291</v>
      </c>
      <c r="I525" s="512"/>
      <c r="J525" s="512" t="s">
        <v>246</v>
      </c>
      <c r="K525" s="512" t="b">
        <v>1</v>
      </c>
      <c r="L525" s="512">
        <v>10</v>
      </c>
      <c r="M525" s="513">
        <v>2032</v>
      </c>
      <c r="N525" s="514">
        <v>0</v>
      </c>
      <c r="O525" s="515">
        <v>44620</v>
      </c>
      <c r="P525" s="515">
        <v>44620</v>
      </c>
      <c r="Q525" s="516">
        <v>0</v>
      </c>
    </row>
    <row r="526" spans="1:17" ht="16.5">
      <c r="A526" s="9">
        <v>2022</v>
      </c>
      <c r="B526" s="10" t="s">
        <v>748</v>
      </c>
      <c r="C526" s="511" t="s">
        <v>749</v>
      </c>
      <c r="D526" s="512">
        <v>218000</v>
      </c>
      <c r="E526" s="512">
        <v>0</v>
      </c>
      <c r="F526" s="512"/>
      <c r="G526" s="512">
        <v>101100</v>
      </c>
      <c r="H526" s="512" t="s">
        <v>291</v>
      </c>
      <c r="I526" s="512"/>
      <c r="J526" s="512" t="s">
        <v>246</v>
      </c>
      <c r="K526" s="512" t="b">
        <v>1</v>
      </c>
      <c r="L526" s="512">
        <v>2</v>
      </c>
      <c r="M526" s="513">
        <v>2024</v>
      </c>
      <c r="N526" s="514">
        <v>0</v>
      </c>
      <c r="O526" s="515">
        <v>44620</v>
      </c>
      <c r="P526" s="515">
        <v>44620</v>
      </c>
      <c r="Q526" s="516">
        <v>0</v>
      </c>
    </row>
    <row r="527" spans="1:17" ht="16.5">
      <c r="A527" s="9">
        <v>2022</v>
      </c>
      <c r="B527" s="10" t="s">
        <v>748</v>
      </c>
      <c r="C527" s="511" t="s">
        <v>749</v>
      </c>
      <c r="D527" s="512">
        <v>218000</v>
      </c>
      <c r="E527" s="512">
        <v>0</v>
      </c>
      <c r="F527" s="512"/>
      <c r="G527" s="512">
        <v>101100</v>
      </c>
      <c r="H527" s="512" t="s">
        <v>291</v>
      </c>
      <c r="I527" s="512"/>
      <c r="J527" s="512" t="s">
        <v>246</v>
      </c>
      <c r="K527" s="512" t="b">
        <v>1</v>
      </c>
      <c r="L527" s="512">
        <v>4</v>
      </c>
      <c r="M527" s="513">
        <v>2026</v>
      </c>
      <c r="N527" s="514">
        <v>0</v>
      </c>
      <c r="O527" s="515">
        <v>44620</v>
      </c>
      <c r="P527" s="515">
        <v>44620</v>
      </c>
      <c r="Q527" s="516">
        <v>0</v>
      </c>
    </row>
    <row r="528" spans="1:17" ht="16.5">
      <c r="A528" s="9">
        <v>2022</v>
      </c>
      <c r="B528" s="10" t="s">
        <v>748</v>
      </c>
      <c r="C528" s="511" t="s">
        <v>749</v>
      </c>
      <c r="D528" s="512">
        <v>218000</v>
      </c>
      <c r="E528" s="512">
        <v>0</v>
      </c>
      <c r="F528" s="512"/>
      <c r="G528" s="512">
        <v>101100</v>
      </c>
      <c r="H528" s="512" t="s">
        <v>291</v>
      </c>
      <c r="I528" s="512"/>
      <c r="J528" s="512" t="s">
        <v>246</v>
      </c>
      <c r="K528" s="512" t="b">
        <v>1</v>
      </c>
      <c r="L528" s="512">
        <v>11</v>
      </c>
      <c r="M528" s="513">
        <v>2033</v>
      </c>
      <c r="N528" s="514">
        <v>0</v>
      </c>
      <c r="O528" s="515">
        <v>44620</v>
      </c>
      <c r="P528" s="515">
        <v>44620</v>
      </c>
      <c r="Q528" s="516">
        <v>0</v>
      </c>
    </row>
    <row r="529" spans="1:17" ht="16.5">
      <c r="A529" s="9">
        <v>2022</v>
      </c>
      <c r="B529" s="10" t="s">
        <v>748</v>
      </c>
      <c r="C529" s="511" t="s">
        <v>749</v>
      </c>
      <c r="D529" s="512">
        <v>218000</v>
      </c>
      <c r="E529" s="512">
        <v>0</v>
      </c>
      <c r="F529" s="512"/>
      <c r="G529" s="512">
        <v>101100</v>
      </c>
      <c r="H529" s="512" t="s">
        <v>291</v>
      </c>
      <c r="I529" s="512"/>
      <c r="J529" s="512" t="s">
        <v>246</v>
      </c>
      <c r="K529" s="512" t="b">
        <v>1</v>
      </c>
      <c r="L529" s="512">
        <v>9</v>
      </c>
      <c r="M529" s="513">
        <v>2031</v>
      </c>
      <c r="N529" s="514">
        <v>0</v>
      </c>
      <c r="O529" s="515">
        <v>44620</v>
      </c>
      <c r="P529" s="515">
        <v>44620</v>
      </c>
      <c r="Q529" s="516">
        <v>0</v>
      </c>
    </row>
    <row r="530" spans="1:17" ht="16.5">
      <c r="A530" s="9">
        <v>2022</v>
      </c>
      <c r="B530" s="10" t="s">
        <v>748</v>
      </c>
      <c r="C530" s="511" t="s">
        <v>749</v>
      </c>
      <c r="D530" s="512">
        <v>218000</v>
      </c>
      <c r="E530" s="512">
        <v>0</v>
      </c>
      <c r="F530" s="512"/>
      <c r="G530" s="512">
        <v>101100</v>
      </c>
      <c r="H530" s="512" t="s">
        <v>291</v>
      </c>
      <c r="I530" s="512"/>
      <c r="J530" s="512" t="s">
        <v>246</v>
      </c>
      <c r="K530" s="512" t="b">
        <v>1</v>
      </c>
      <c r="L530" s="512">
        <v>0</v>
      </c>
      <c r="M530" s="513">
        <v>2022</v>
      </c>
      <c r="N530" s="514">
        <v>2303117</v>
      </c>
      <c r="O530" s="515">
        <v>44620</v>
      </c>
      <c r="P530" s="515">
        <v>44620</v>
      </c>
      <c r="Q530" s="516">
        <v>0</v>
      </c>
    </row>
    <row r="531" spans="1:17" ht="16.5">
      <c r="A531" s="9">
        <v>2022</v>
      </c>
      <c r="B531" s="10" t="s">
        <v>748</v>
      </c>
      <c r="C531" s="511" t="s">
        <v>749</v>
      </c>
      <c r="D531" s="512">
        <v>218000</v>
      </c>
      <c r="E531" s="512">
        <v>0</v>
      </c>
      <c r="F531" s="512"/>
      <c r="G531" s="512">
        <v>101100</v>
      </c>
      <c r="H531" s="512" t="s">
        <v>291</v>
      </c>
      <c r="I531" s="512"/>
      <c r="J531" s="512" t="s">
        <v>246</v>
      </c>
      <c r="K531" s="512" t="b">
        <v>1</v>
      </c>
      <c r="L531" s="512">
        <v>3</v>
      </c>
      <c r="M531" s="513">
        <v>2025</v>
      </c>
      <c r="N531" s="514">
        <v>0</v>
      </c>
      <c r="O531" s="515">
        <v>44620</v>
      </c>
      <c r="P531" s="515">
        <v>44620</v>
      </c>
      <c r="Q531" s="516">
        <v>0</v>
      </c>
    </row>
    <row r="532" spans="1:17" ht="16.5">
      <c r="A532" s="9">
        <v>2022</v>
      </c>
      <c r="B532" s="10" t="s">
        <v>748</v>
      </c>
      <c r="C532" s="511" t="s">
        <v>749</v>
      </c>
      <c r="D532" s="512">
        <v>218000</v>
      </c>
      <c r="E532" s="512">
        <v>0</v>
      </c>
      <c r="F532" s="512"/>
      <c r="G532" s="512">
        <v>101100</v>
      </c>
      <c r="H532" s="512" t="s">
        <v>291</v>
      </c>
      <c r="I532" s="512"/>
      <c r="J532" s="512" t="s">
        <v>246</v>
      </c>
      <c r="K532" s="512" t="b">
        <v>1</v>
      </c>
      <c r="L532" s="512">
        <v>7</v>
      </c>
      <c r="M532" s="513">
        <v>2029</v>
      </c>
      <c r="N532" s="514">
        <v>0</v>
      </c>
      <c r="O532" s="515">
        <v>44620</v>
      </c>
      <c r="P532" s="515">
        <v>44620</v>
      </c>
      <c r="Q532" s="516">
        <v>0</v>
      </c>
    </row>
    <row r="533" spans="1:17" ht="16.5">
      <c r="A533" s="9">
        <v>2022</v>
      </c>
      <c r="B533" s="10" t="s">
        <v>748</v>
      </c>
      <c r="C533" s="511" t="s">
        <v>749</v>
      </c>
      <c r="D533" s="512">
        <v>218000</v>
      </c>
      <c r="E533" s="512">
        <v>0</v>
      </c>
      <c r="F533" s="512"/>
      <c r="G533" s="512">
        <v>101100</v>
      </c>
      <c r="H533" s="512" t="s">
        <v>291</v>
      </c>
      <c r="I533" s="512"/>
      <c r="J533" s="512" t="s">
        <v>246</v>
      </c>
      <c r="K533" s="512" t="b">
        <v>1</v>
      </c>
      <c r="L533" s="512">
        <v>8</v>
      </c>
      <c r="M533" s="513">
        <v>2030</v>
      </c>
      <c r="N533" s="514">
        <v>0</v>
      </c>
      <c r="O533" s="515">
        <v>44620</v>
      </c>
      <c r="P533" s="515">
        <v>44620</v>
      </c>
      <c r="Q533" s="516">
        <v>0</v>
      </c>
    </row>
    <row r="534" spans="1:17" ht="16.5">
      <c r="A534" s="9">
        <v>2022</v>
      </c>
      <c r="B534" s="10" t="s">
        <v>748</v>
      </c>
      <c r="C534" s="511" t="s">
        <v>749</v>
      </c>
      <c r="D534" s="512">
        <v>218000</v>
      </c>
      <c r="E534" s="512">
        <v>0</v>
      </c>
      <c r="F534" s="512"/>
      <c r="G534" s="512">
        <v>101100</v>
      </c>
      <c r="H534" s="512" t="s">
        <v>291</v>
      </c>
      <c r="I534" s="512"/>
      <c r="J534" s="512" t="s">
        <v>246</v>
      </c>
      <c r="K534" s="512" t="b">
        <v>1</v>
      </c>
      <c r="L534" s="512">
        <v>6</v>
      </c>
      <c r="M534" s="513">
        <v>2028</v>
      </c>
      <c r="N534" s="514">
        <v>0</v>
      </c>
      <c r="O534" s="515">
        <v>44620</v>
      </c>
      <c r="P534" s="515">
        <v>44620</v>
      </c>
      <c r="Q534" s="516">
        <v>0</v>
      </c>
    </row>
    <row r="535" spans="1:17" ht="16.5">
      <c r="A535" s="9">
        <v>2022</v>
      </c>
      <c r="B535" s="10" t="s">
        <v>748</v>
      </c>
      <c r="C535" s="511" t="s">
        <v>749</v>
      </c>
      <c r="D535" s="512">
        <v>218000</v>
      </c>
      <c r="E535" s="512">
        <v>0</v>
      </c>
      <c r="F535" s="512"/>
      <c r="G535" s="512">
        <v>94100</v>
      </c>
      <c r="H535" s="512" t="s">
        <v>289</v>
      </c>
      <c r="I535" s="512"/>
      <c r="J535" s="512" t="s">
        <v>243</v>
      </c>
      <c r="K535" s="512" t="b">
        <v>1</v>
      </c>
      <c r="L535" s="512">
        <v>3</v>
      </c>
      <c r="M535" s="513">
        <v>2025</v>
      </c>
      <c r="N535" s="514">
        <v>0</v>
      </c>
      <c r="O535" s="515">
        <v>44620</v>
      </c>
      <c r="P535" s="515">
        <v>44620</v>
      </c>
      <c r="Q535" s="516">
        <v>0</v>
      </c>
    </row>
    <row r="536" spans="1:17" ht="16.5">
      <c r="A536" s="9">
        <v>2022</v>
      </c>
      <c r="B536" s="10" t="s">
        <v>748</v>
      </c>
      <c r="C536" s="511" t="s">
        <v>749</v>
      </c>
      <c r="D536" s="512">
        <v>218000</v>
      </c>
      <c r="E536" s="512">
        <v>0</v>
      </c>
      <c r="F536" s="512"/>
      <c r="G536" s="512">
        <v>94100</v>
      </c>
      <c r="H536" s="512" t="s">
        <v>289</v>
      </c>
      <c r="I536" s="512"/>
      <c r="J536" s="512" t="s">
        <v>243</v>
      </c>
      <c r="K536" s="512" t="b">
        <v>1</v>
      </c>
      <c r="L536" s="512">
        <v>5</v>
      </c>
      <c r="M536" s="513">
        <v>2027</v>
      </c>
      <c r="N536" s="514">
        <v>0</v>
      </c>
      <c r="O536" s="515">
        <v>44620</v>
      </c>
      <c r="P536" s="515">
        <v>44620</v>
      </c>
      <c r="Q536" s="516">
        <v>0</v>
      </c>
    </row>
    <row r="537" spans="1:17" ht="16.5">
      <c r="A537" s="9">
        <v>2022</v>
      </c>
      <c r="B537" s="10" t="s">
        <v>748</v>
      </c>
      <c r="C537" s="511" t="s">
        <v>749</v>
      </c>
      <c r="D537" s="512">
        <v>218000</v>
      </c>
      <c r="E537" s="512">
        <v>0</v>
      </c>
      <c r="F537" s="512"/>
      <c r="G537" s="512">
        <v>94100</v>
      </c>
      <c r="H537" s="512" t="s">
        <v>289</v>
      </c>
      <c r="I537" s="512"/>
      <c r="J537" s="512" t="s">
        <v>243</v>
      </c>
      <c r="K537" s="512" t="b">
        <v>1</v>
      </c>
      <c r="L537" s="512">
        <v>7</v>
      </c>
      <c r="M537" s="513">
        <v>2029</v>
      </c>
      <c r="N537" s="514">
        <v>0</v>
      </c>
      <c r="O537" s="515">
        <v>44620</v>
      </c>
      <c r="P537" s="515">
        <v>44620</v>
      </c>
      <c r="Q537" s="516">
        <v>0</v>
      </c>
    </row>
    <row r="538" spans="1:17" ht="16.5">
      <c r="A538" s="9">
        <v>2022</v>
      </c>
      <c r="B538" s="10" t="s">
        <v>748</v>
      </c>
      <c r="C538" s="511" t="s">
        <v>749</v>
      </c>
      <c r="D538" s="512">
        <v>218000</v>
      </c>
      <c r="E538" s="512">
        <v>0</v>
      </c>
      <c r="F538" s="512"/>
      <c r="G538" s="512">
        <v>94100</v>
      </c>
      <c r="H538" s="512" t="s">
        <v>289</v>
      </c>
      <c r="I538" s="512"/>
      <c r="J538" s="512" t="s">
        <v>243</v>
      </c>
      <c r="K538" s="512" t="b">
        <v>1</v>
      </c>
      <c r="L538" s="512">
        <v>10</v>
      </c>
      <c r="M538" s="513">
        <v>2032</v>
      </c>
      <c r="N538" s="514">
        <v>0</v>
      </c>
      <c r="O538" s="515">
        <v>44620</v>
      </c>
      <c r="P538" s="515">
        <v>44620</v>
      </c>
      <c r="Q538" s="516">
        <v>0</v>
      </c>
    </row>
    <row r="539" spans="1:17" ht="16.5">
      <c r="A539" s="9">
        <v>2022</v>
      </c>
      <c r="B539" s="10" t="s">
        <v>748</v>
      </c>
      <c r="C539" s="511" t="s">
        <v>749</v>
      </c>
      <c r="D539" s="512">
        <v>218000</v>
      </c>
      <c r="E539" s="512">
        <v>0</v>
      </c>
      <c r="F539" s="512"/>
      <c r="G539" s="512">
        <v>94100</v>
      </c>
      <c r="H539" s="512" t="s">
        <v>289</v>
      </c>
      <c r="I539" s="512"/>
      <c r="J539" s="512" t="s">
        <v>243</v>
      </c>
      <c r="K539" s="512" t="b">
        <v>1</v>
      </c>
      <c r="L539" s="512">
        <v>2</v>
      </c>
      <c r="M539" s="513">
        <v>2024</v>
      </c>
      <c r="N539" s="514">
        <v>0</v>
      </c>
      <c r="O539" s="515">
        <v>44620</v>
      </c>
      <c r="P539" s="515">
        <v>44620</v>
      </c>
      <c r="Q539" s="516">
        <v>0</v>
      </c>
    </row>
    <row r="540" spans="1:17" ht="16.5">
      <c r="A540" s="9">
        <v>2022</v>
      </c>
      <c r="B540" s="10" t="s">
        <v>748</v>
      </c>
      <c r="C540" s="511" t="s">
        <v>749</v>
      </c>
      <c r="D540" s="512">
        <v>218000</v>
      </c>
      <c r="E540" s="512">
        <v>0</v>
      </c>
      <c r="F540" s="512"/>
      <c r="G540" s="512">
        <v>94100</v>
      </c>
      <c r="H540" s="512" t="s">
        <v>289</v>
      </c>
      <c r="I540" s="512"/>
      <c r="J540" s="512" t="s">
        <v>243</v>
      </c>
      <c r="K540" s="512" t="b">
        <v>1</v>
      </c>
      <c r="L540" s="512">
        <v>8</v>
      </c>
      <c r="M540" s="513">
        <v>2030</v>
      </c>
      <c r="N540" s="514">
        <v>0</v>
      </c>
      <c r="O540" s="515">
        <v>44620</v>
      </c>
      <c r="P540" s="515">
        <v>44620</v>
      </c>
      <c r="Q540" s="516">
        <v>0</v>
      </c>
    </row>
    <row r="541" spans="1:17" ht="16.5">
      <c r="A541" s="9">
        <v>2022</v>
      </c>
      <c r="B541" s="10" t="s">
        <v>748</v>
      </c>
      <c r="C541" s="511" t="s">
        <v>749</v>
      </c>
      <c r="D541" s="512">
        <v>218000</v>
      </c>
      <c r="E541" s="512">
        <v>0</v>
      </c>
      <c r="F541" s="512"/>
      <c r="G541" s="512">
        <v>94100</v>
      </c>
      <c r="H541" s="512" t="s">
        <v>289</v>
      </c>
      <c r="I541" s="512"/>
      <c r="J541" s="512" t="s">
        <v>243</v>
      </c>
      <c r="K541" s="512" t="b">
        <v>1</v>
      </c>
      <c r="L541" s="512">
        <v>11</v>
      </c>
      <c r="M541" s="513">
        <v>2033</v>
      </c>
      <c r="N541" s="514">
        <v>0</v>
      </c>
      <c r="O541" s="515">
        <v>44620</v>
      </c>
      <c r="P541" s="515">
        <v>44620</v>
      </c>
      <c r="Q541" s="516">
        <v>0</v>
      </c>
    </row>
    <row r="542" spans="1:17" ht="16.5">
      <c r="A542" s="9">
        <v>2022</v>
      </c>
      <c r="B542" s="10" t="s">
        <v>748</v>
      </c>
      <c r="C542" s="511" t="s">
        <v>749</v>
      </c>
      <c r="D542" s="512">
        <v>218000</v>
      </c>
      <c r="E542" s="512">
        <v>0</v>
      </c>
      <c r="F542" s="512"/>
      <c r="G542" s="512">
        <v>94100</v>
      </c>
      <c r="H542" s="512" t="s">
        <v>289</v>
      </c>
      <c r="I542" s="512"/>
      <c r="J542" s="512" t="s">
        <v>243</v>
      </c>
      <c r="K542" s="512" t="b">
        <v>1</v>
      </c>
      <c r="L542" s="512">
        <v>6</v>
      </c>
      <c r="M542" s="513">
        <v>2028</v>
      </c>
      <c r="N542" s="514">
        <v>0</v>
      </c>
      <c r="O542" s="515">
        <v>44620</v>
      </c>
      <c r="P542" s="515">
        <v>44620</v>
      </c>
      <c r="Q542" s="516">
        <v>0</v>
      </c>
    </row>
    <row r="543" spans="1:17" ht="16.5">
      <c r="A543" s="9">
        <v>2022</v>
      </c>
      <c r="B543" s="10" t="s">
        <v>748</v>
      </c>
      <c r="C543" s="511" t="s">
        <v>749</v>
      </c>
      <c r="D543" s="512">
        <v>218000</v>
      </c>
      <c r="E543" s="512">
        <v>0</v>
      </c>
      <c r="F543" s="512"/>
      <c r="G543" s="512">
        <v>94100</v>
      </c>
      <c r="H543" s="512" t="s">
        <v>289</v>
      </c>
      <c r="I543" s="512"/>
      <c r="J543" s="512" t="s">
        <v>243</v>
      </c>
      <c r="K543" s="512" t="b">
        <v>1</v>
      </c>
      <c r="L543" s="512">
        <v>9</v>
      </c>
      <c r="M543" s="513">
        <v>2031</v>
      </c>
      <c r="N543" s="514">
        <v>0</v>
      </c>
      <c r="O543" s="515">
        <v>44620</v>
      </c>
      <c r="P543" s="515">
        <v>44620</v>
      </c>
      <c r="Q543" s="516">
        <v>0</v>
      </c>
    </row>
    <row r="544" spans="1:17" ht="16.5">
      <c r="A544" s="9">
        <v>2022</v>
      </c>
      <c r="B544" s="10" t="s">
        <v>748</v>
      </c>
      <c r="C544" s="511" t="s">
        <v>749</v>
      </c>
      <c r="D544" s="512">
        <v>218000</v>
      </c>
      <c r="E544" s="512">
        <v>0</v>
      </c>
      <c r="F544" s="512"/>
      <c r="G544" s="512">
        <v>94100</v>
      </c>
      <c r="H544" s="512" t="s">
        <v>289</v>
      </c>
      <c r="I544" s="512"/>
      <c r="J544" s="512" t="s">
        <v>243</v>
      </c>
      <c r="K544" s="512" t="b">
        <v>1</v>
      </c>
      <c r="L544" s="512">
        <v>4</v>
      </c>
      <c r="M544" s="513">
        <v>2026</v>
      </c>
      <c r="N544" s="514">
        <v>0</v>
      </c>
      <c r="O544" s="515">
        <v>44620</v>
      </c>
      <c r="P544" s="515">
        <v>44620</v>
      </c>
      <c r="Q544" s="516">
        <v>0</v>
      </c>
    </row>
    <row r="545" spans="1:17" ht="16.5">
      <c r="A545" s="9">
        <v>2022</v>
      </c>
      <c r="B545" s="10" t="s">
        <v>748</v>
      </c>
      <c r="C545" s="511" t="s">
        <v>749</v>
      </c>
      <c r="D545" s="512">
        <v>218000</v>
      </c>
      <c r="E545" s="512">
        <v>0</v>
      </c>
      <c r="F545" s="512"/>
      <c r="G545" s="512">
        <v>94100</v>
      </c>
      <c r="H545" s="512" t="s">
        <v>289</v>
      </c>
      <c r="I545" s="512"/>
      <c r="J545" s="512" t="s">
        <v>243</v>
      </c>
      <c r="K545" s="512" t="b">
        <v>1</v>
      </c>
      <c r="L545" s="512">
        <v>0</v>
      </c>
      <c r="M545" s="513">
        <v>2022</v>
      </c>
      <c r="N545" s="514">
        <v>0</v>
      </c>
      <c r="O545" s="515">
        <v>44620</v>
      </c>
      <c r="P545" s="515">
        <v>44620</v>
      </c>
      <c r="Q545" s="516">
        <v>0</v>
      </c>
    </row>
    <row r="546" spans="1:17" ht="16.5">
      <c r="A546" s="9">
        <v>2022</v>
      </c>
      <c r="B546" s="10" t="s">
        <v>748</v>
      </c>
      <c r="C546" s="511" t="s">
        <v>749</v>
      </c>
      <c r="D546" s="512">
        <v>218000</v>
      </c>
      <c r="E546" s="512">
        <v>0</v>
      </c>
      <c r="F546" s="512"/>
      <c r="G546" s="512">
        <v>94100</v>
      </c>
      <c r="H546" s="512" t="s">
        <v>289</v>
      </c>
      <c r="I546" s="512"/>
      <c r="J546" s="512" t="s">
        <v>243</v>
      </c>
      <c r="K546" s="512" t="b">
        <v>1</v>
      </c>
      <c r="L546" s="512">
        <v>1</v>
      </c>
      <c r="M546" s="513">
        <v>2023</v>
      </c>
      <c r="N546" s="514">
        <v>0</v>
      </c>
      <c r="O546" s="515">
        <v>44620</v>
      </c>
      <c r="P546" s="515">
        <v>44620</v>
      </c>
      <c r="Q546" s="516">
        <v>0</v>
      </c>
    </row>
    <row r="547" spans="1:17" ht="16.5">
      <c r="A547" s="9">
        <v>2022</v>
      </c>
      <c r="B547" s="10" t="s">
        <v>748</v>
      </c>
      <c r="C547" s="511" t="s">
        <v>749</v>
      </c>
      <c r="D547" s="512">
        <v>218000</v>
      </c>
      <c r="E547" s="512">
        <v>0</v>
      </c>
      <c r="F547" s="512"/>
      <c r="G547" s="512">
        <v>51100</v>
      </c>
      <c r="H547" s="512" t="s">
        <v>48</v>
      </c>
      <c r="I547" s="512" t="s">
        <v>768</v>
      </c>
      <c r="J547" s="512" t="s">
        <v>769</v>
      </c>
      <c r="K547" s="512" t="b">
        <v>1</v>
      </c>
      <c r="L547" s="512">
        <v>8</v>
      </c>
      <c r="M547" s="513">
        <v>2030</v>
      </c>
      <c r="N547" s="514">
        <v>0</v>
      </c>
      <c r="O547" s="515">
        <v>44620</v>
      </c>
      <c r="P547" s="515">
        <v>44620</v>
      </c>
      <c r="Q547" s="516">
        <v>0</v>
      </c>
    </row>
    <row r="548" spans="1:17" ht="16.5">
      <c r="A548" s="9">
        <v>2022</v>
      </c>
      <c r="B548" s="10" t="s">
        <v>748</v>
      </c>
      <c r="C548" s="511" t="s">
        <v>749</v>
      </c>
      <c r="D548" s="512">
        <v>218000</v>
      </c>
      <c r="E548" s="512">
        <v>0</v>
      </c>
      <c r="F548" s="512"/>
      <c r="G548" s="512">
        <v>51100</v>
      </c>
      <c r="H548" s="512" t="s">
        <v>48</v>
      </c>
      <c r="I548" s="512" t="s">
        <v>768</v>
      </c>
      <c r="J548" s="512" t="s">
        <v>769</v>
      </c>
      <c r="K548" s="512" t="b">
        <v>1</v>
      </c>
      <c r="L548" s="512">
        <v>11</v>
      </c>
      <c r="M548" s="513">
        <v>2033</v>
      </c>
      <c r="N548" s="514">
        <v>0</v>
      </c>
      <c r="O548" s="515">
        <v>44620</v>
      </c>
      <c r="P548" s="515">
        <v>44620</v>
      </c>
      <c r="Q548" s="516">
        <v>0</v>
      </c>
    </row>
    <row r="549" spans="1:17" ht="16.5">
      <c r="A549" s="9">
        <v>2022</v>
      </c>
      <c r="B549" s="10" t="s">
        <v>748</v>
      </c>
      <c r="C549" s="511" t="s">
        <v>749</v>
      </c>
      <c r="D549" s="512">
        <v>218000</v>
      </c>
      <c r="E549" s="512">
        <v>0</v>
      </c>
      <c r="F549" s="512"/>
      <c r="G549" s="512">
        <v>51100</v>
      </c>
      <c r="H549" s="512" t="s">
        <v>48</v>
      </c>
      <c r="I549" s="512" t="s">
        <v>768</v>
      </c>
      <c r="J549" s="512" t="s">
        <v>769</v>
      </c>
      <c r="K549" s="512" t="b">
        <v>1</v>
      </c>
      <c r="L549" s="512">
        <v>7</v>
      </c>
      <c r="M549" s="513">
        <v>2029</v>
      </c>
      <c r="N549" s="514">
        <v>0</v>
      </c>
      <c r="O549" s="515">
        <v>44620</v>
      </c>
      <c r="P549" s="515">
        <v>44620</v>
      </c>
      <c r="Q549" s="516">
        <v>0</v>
      </c>
    </row>
    <row r="550" spans="1:17" ht="16.5">
      <c r="A550" s="9">
        <v>2022</v>
      </c>
      <c r="B550" s="10" t="s">
        <v>748</v>
      </c>
      <c r="C550" s="511" t="s">
        <v>749</v>
      </c>
      <c r="D550" s="512">
        <v>218000</v>
      </c>
      <c r="E550" s="512">
        <v>0</v>
      </c>
      <c r="F550" s="512"/>
      <c r="G550" s="512">
        <v>51100</v>
      </c>
      <c r="H550" s="512" t="s">
        <v>48</v>
      </c>
      <c r="I550" s="512" t="s">
        <v>768</v>
      </c>
      <c r="J550" s="512" t="s">
        <v>769</v>
      </c>
      <c r="K550" s="512" t="b">
        <v>1</v>
      </c>
      <c r="L550" s="512">
        <v>10</v>
      </c>
      <c r="M550" s="513">
        <v>2032</v>
      </c>
      <c r="N550" s="514">
        <v>0</v>
      </c>
      <c r="O550" s="515">
        <v>44620</v>
      </c>
      <c r="P550" s="515">
        <v>44620</v>
      </c>
      <c r="Q550" s="516">
        <v>0</v>
      </c>
    </row>
    <row r="551" spans="1:17" ht="16.5">
      <c r="A551" s="9">
        <v>2022</v>
      </c>
      <c r="B551" s="10" t="s">
        <v>748</v>
      </c>
      <c r="C551" s="511" t="s">
        <v>749</v>
      </c>
      <c r="D551" s="512">
        <v>218000</v>
      </c>
      <c r="E551" s="512">
        <v>0</v>
      </c>
      <c r="F551" s="512"/>
      <c r="G551" s="512">
        <v>51100</v>
      </c>
      <c r="H551" s="512" t="s">
        <v>48</v>
      </c>
      <c r="I551" s="512" t="s">
        <v>768</v>
      </c>
      <c r="J551" s="512" t="s">
        <v>769</v>
      </c>
      <c r="K551" s="512" t="b">
        <v>1</v>
      </c>
      <c r="L551" s="512">
        <v>9</v>
      </c>
      <c r="M551" s="513">
        <v>2031</v>
      </c>
      <c r="N551" s="514">
        <v>0</v>
      </c>
      <c r="O551" s="515">
        <v>44620</v>
      </c>
      <c r="P551" s="515">
        <v>44620</v>
      </c>
      <c r="Q551" s="516">
        <v>0</v>
      </c>
    </row>
    <row r="552" spans="1:17" ht="16.5">
      <c r="A552" s="9">
        <v>2022</v>
      </c>
      <c r="B552" s="10" t="s">
        <v>748</v>
      </c>
      <c r="C552" s="511" t="s">
        <v>749</v>
      </c>
      <c r="D552" s="512">
        <v>218000</v>
      </c>
      <c r="E552" s="512">
        <v>0</v>
      </c>
      <c r="F552" s="512"/>
      <c r="G552" s="512">
        <v>51100</v>
      </c>
      <c r="H552" s="512" t="s">
        <v>48</v>
      </c>
      <c r="I552" s="512" t="s">
        <v>768</v>
      </c>
      <c r="J552" s="512" t="s">
        <v>769</v>
      </c>
      <c r="K552" s="512" t="b">
        <v>1</v>
      </c>
      <c r="L552" s="512">
        <v>3</v>
      </c>
      <c r="M552" s="513">
        <v>2025</v>
      </c>
      <c r="N552" s="514">
        <v>0</v>
      </c>
      <c r="O552" s="515">
        <v>44620</v>
      </c>
      <c r="P552" s="515">
        <v>44620</v>
      </c>
      <c r="Q552" s="516">
        <v>0</v>
      </c>
    </row>
    <row r="553" spans="1:17" ht="16.5">
      <c r="A553" s="9">
        <v>2022</v>
      </c>
      <c r="B553" s="10" t="s">
        <v>748</v>
      </c>
      <c r="C553" s="511" t="s">
        <v>749</v>
      </c>
      <c r="D553" s="512">
        <v>218000</v>
      </c>
      <c r="E553" s="512">
        <v>0</v>
      </c>
      <c r="F553" s="512"/>
      <c r="G553" s="512">
        <v>51100</v>
      </c>
      <c r="H553" s="512" t="s">
        <v>48</v>
      </c>
      <c r="I553" s="512" t="s">
        <v>768</v>
      </c>
      <c r="J553" s="512" t="s">
        <v>769</v>
      </c>
      <c r="K553" s="512" t="b">
        <v>1</v>
      </c>
      <c r="L553" s="512">
        <v>5</v>
      </c>
      <c r="M553" s="513">
        <v>2027</v>
      </c>
      <c r="N553" s="514">
        <v>0</v>
      </c>
      <c r="O553" s="515">
        <v>44620</v>
      </c>
      <c r="P553" s="515">
        <v>44620</v>
      </c>
      <c r="Q553" s="516">
        <v>0</v>
      </c>
    </row>
    <row r="554" spans="1:17" ht="16.5">
      <c r="A554" s="9">
        <v>2022</v>
      </c>
      <c r="B554" s="10" t="s">
        <v>748</v>
      </c>
      <c r="C554" s="511" t="s">
        <v>749</v>
      </c>
      <c r="D554" s="512">
        <v>218000</v>
      </c>
      <c r="E554" s="512">
        <v>0</v>
      </c>
      <c r="F554" s="512"/>
      <c r="G554" s="512">
        <v>51100</v>
      </c>
      <c r="H554" s="512" t="s">
        <v>48</v>
      </c>
      <c r="I554" s="512" t="s">
        <v>768</v>
      </c>
      <c r="J554" s="512" t="s">
        <v>769</v>
      </c>
      <c r="K554" s="512" t="b">
        <v>1</v>
      </c>
      <c r="L554" s="512">
        <v>0</v>
      </c>
      <c r="M554" s="513">
        <v>2022</v>
      </c>
      <c r="N554" s="514">
        <v>0</v>
      </c>
      <c r="O554" s="515">
        <v>44620</v>
      </c>
      <c r="P554" s="515">
        <v>44620</v>
      </c>
      <c r="Q554" s="516">
        <v>0</v>
      </c>
    </row>
    <row r="555" spans="1:17" ht="16.5">
      <c r="A555" s="9">
        <v>2022</v>
      </c>
      <c r="B555" s="10" t="s">
        <v>748</v>
      </c>
      <c r="C555" s="511" t="s">
        <v>749</v>
      </c>
      <c r="D555" s="512">
        <v>218000</v>
      </c>
      <c r="E555" s="512">
        <v>0</v>
      </c>
      <c r="F555" s="512"/>
      <c r="G555" s="512">
        <v>51100</v>
      </c>
      <c r="H555" s="512" t="s">
        <v>48</v>
      </c>
      <c r="I555" s="512" t="s">
        <v>768</v>
      </c>
      <c r="J555" s="512" t="s">
        <v>769</v>
      </c>
      <c r="K555" s="512" t="b">
        <v>1</v>
      </c>
      <c r="L555" s="512">
        <v>4</v>
      </c>
      <c r="M555" s="513">
        <v>2026</v>
      </c>
      <c r="N555" s="514">
        <v>0</v>
      </c>
      <c r="O555" s="515">
        <v>44620</v>
      </c>
      <c r="P555" s="515">
        <v>44620</v>
      </c>
      <c r="Q555" s="516">
        <v>0</v>
      </c>
    </row>
    <row r="556" spans="1:17" ht="16.5">
      <c r="A556" s="9">
        <v>2022</v>
      </c>
      <c r="B556" s="10" t="s">
        <v>748</v>
      </c>
      <c r="C556" s="511" t="s">
        <v>749</v>
      </c>
      <c r="D556" s="512">
        <v>218000</v>
      </c>
      <c r="E556" s="512">
        <v>0</v>
      </c>
      <c r="F556" s="512"/>
      <c r="G556" s="512">
        <v>51100</v>
      </c>
      <c r="H556" s="512" t="s">
        <v>48</v>
      </c>
      <c r="I556" s="512" t="s">
        <v>768</v>
      </c>
      <c r="J556" s="512" t="s">
        <v>769</v>
      </c>
      <c r="K556" s="512" t="b">
        <v>1</v>
      </c>
      <c r="L556" s="512">
        <v>6</v>
      </c>
      <c r="M556" s="513">
        <v>2028</v>
      </c>
      <c r="N556" s="514">
        <v>0</v>
      </c>
      <c r="O556" s="515">
        <v>44620</v>
      </c>
      <c r="P556" s="515">
        <v>44620</v>
      </c>
      <c r="Q556" s="516">
        <v>0</v>
      </c>
    </row>
    <row r="557" spans="1:17" ht="16.5">
      <c r="A557" s="9">
        <v>2022</v>
      </c>
      <c r="B557" s="10" t="s">
        <v>748</v>
      </c>
      <c r="C557" s="511" t="s">
        <v>749</v>
      </c>
      <c r="D557" s="512">
        <v>218000</v>
      </c>
      <c r="E557" s="512">
        <v>0</v>
      </c>
      <c r="F557" s="512"/>
      <c r="G557" s="512">
        <v>51100</v>
      </c>
      <c r="H557" s="512" t="s">
        <v>48</v>
      </c>
      <c r="I557" s="512" t="s">
        <v>768</v>
      </c>
      <c r="J557" s="512" t="s">
        <v>769</v>
      </c>
      <c r="K557" s="512" t="b">
        <v>1</v>
      </c>
      <c r="L557" s="512">
        <v>2</v>
      </c>
      <c r="M557" s="513">
        <v>2024</v>
      </c>
      <c r="N557" s="514">
        <v>0</v>
      </c>
      <c r="O557" s="515">
        <v>44620</v>
      </c>
      <c r="P557" s="515">
        <v>44620</v>
      </c>
      <c r="Q557" s="516">
        <v>0</v>
      </c>
    </row>
    <row r="558" spans="1:17" ht="16.5">
      <c r="A558" s="9">
        <v>2022</v>
      </c>
      <c r="B558" s="10" t="s">
        <v>748</v>
      </c>
      <c r="C558" s="511" t="s">
        <v>749</v>
      </c>
      <c r="D558" s="512">
        <v>218000</v>
      </c>
      <c r="E558" s="512">
        <v>0</v>
      </c>
      <c r="F558" s="512"/>
      <c r="G558" s="512">
        <v>51100</v>
      </c>
      <c r="H558" s="512" t="s">
        <v>48</v>
      </c>
      <c r="I558" s="512" t="s">
        <v>768</v>
      </c>
      <c r="J558" s="512" t="s">
        <v>769</v>
      </c>
      <c r="K558" s="512" t="b">
        <v>1</v>
      </c>
      <c r="L558" s="512">
        <v>1</v>
      </c>
      <c r="M558" s="513">
        <v>2023</v>
      </c>
      <c r="N558" s="514">
        <v>0</v>
      </c>
      <c r="O558" s="515">
        <v>44620</v>
      </c>
      <c r="P558" s="515">
        <v>44620</v>
      </c>
      <c r="Q558" s="516">
        <v>0</v>
      </c>
    </row>
    <row r="559" spans="1:17" ht="16.5">
      <c r="A559" s="9">
        <v>2022</v>
      </c>
      <c r="B559" s="10" t="s">
        <v>748</v>
      </c>
      <c r="C559" s="511" t="s">
        <v>749</v>
      </c>
      <c r="D559" s="512">
        <v>218000</v>
      </c>
      <c r="E559" s="512">
        <v>0</v>
      </c>
      <c r="F559" s="512"/>
      <c r="G559" s="512">
        <v>102000</v>
      </c>
      <c r="H559" s="512">
        <v>10.199999999999999</v>
      </c>
      <c r="I559" s="512"/>
      <c r="J559" s="512" t="s">
        <v>248</v>
      </c>
      <c r="K559" s="512" t="b">
        <v>1</v>
      </c>
      <c r="L559" s="512">
        <v>2</v>
      </c>
      <c r="M559" s="513">
        <v>2024</v>
      </c>
      <c r="N559" s="514">
        <v>0</v>
      </c>
      <c r="O559" s="515">
        <v>44620</v>
      </c>
      <c r="P559" s="515">
        <v>44620</v>
      </c>
      <c r="Q559" s="516">
        <v>0</v>
      </c>
    </row>
    <row r="560" spans="1:17" ht="16.5">
      <c r="A560" s="9">
        <v>2022</v>
      </c>
      <c r="B560" s="10" t="s">
        <v>748</v>
      </c>
      <c r="C560" s="511" t="s">
        <v>749</v>
      </c>
      <c r="D560" s="512">
        <v>218000</v>
      </c>
      <c r="E560" s="512">
        <v>0</v>
      </c>
      <c r="F560" s="512"/>
      <c r="G560" s="512">
        <v>102000</v>
      </c>
      <c r="H560" s="512">
        <v>10.199999999999999</v>
      </c>
      <c r="I560" s="512"/>
      <c r="J560" s="512" t="s">
        <v>248</v>
      </c>
      <c r="K560" s="512" t="b">
        <v>1</v>
      </c>
      <c r="L560" s="512">
        <v>9</v>
      </c>
      <c r="M560" s="513">
        <v>2031</v>
      </c>
      <c r="N560" s="514">
        <v>0</v>
      </c>
      <c r="O560" s="515">
        <v>44620</v>
      </c>
      <c r="P560" s="515">
        <v>44620</v>
      </c>
      <c r="Q560" s="516">
        <v>0</v>
      </c>
    </row>
    <row r="561" spans="1:17" ht="16.5">
      <c r="A561" s="9">
        <v>2022</v>
      </c>
      <c r="B561" s="10" t="s">
        <v>748</v>
      </c>
      <c r="C561" s="511" t="s">
        <v>749</v>
      </c>
      <c r="D561" s="512">
        <v>218000</v>
      </c>
      <c r="E561" s="512">
        <v>0</v>
      </c>
      <c r="F561" s="512"/>
      <c r="G561" s="512">
        <v>102000</v>
      </c>
      <c r="H561" s="512">
        <v>10.199999999999999</v>
      </c>
      <c r="I561" s="512"/>
      <c r="J561" s="512" t="s">
        <v>248</v>
      </c>
      <c r="K561" s="512" t="b">
        <v>1</v>
      </c>
      <c r="L561" s="512">
        <v>3</v>
      </c>
      <c r="M561" s="513">
        <v>2025</v>
      </c>
      <c r="N561" s="514">
        <v>0</v>
      </c>
      <c r="O561" s="515">
        <v>44620</v>
      </c>
      <c r="P561" s="515">
        <v>44620</v>
      </c>
      <c r="Q561" s="516">
        <v>0</v>
      </c>
    </row>
    <row r="562" spans="1:17" ht="16.5">
      <c r="A562" s="9">
        <v>2022</v>
      </c>
      <c r="B562" s="10" t="s">
        <v>748</v>
      </c>
      <c r="C562" s="511" t="s">
        <v>749</v>
      </c>
      <c r="D562" s="512">
        <v>218000</v>
      </c>
      <c r="E562" s="512">
        <v>0</v>
      </c>
      <c r="F562" s="512"/>
      <c r="G562" s="512">
        <v>102000</v>
      </c>
      <c r="H562" s="512">
        <v>10.199999999999999</v>
      </c>
      <c r="I562" s="512"/>
      <c r="J562" s="512" t="s">
        <v>248</v>
      </c>
      <c r="K562" s="512" t="b">
        <v>1</v>
      </c>
      <c r="L562" s="512">
        <v>5</v>
      </c>
      <c r="M562" s="513">
        <v>2027</v>
      </c>
      <c r="N562" s="514">
        <v>0</v>
      </c>
      <c r="O562" s="515">
        <v>44620</v>
      </c>
      <c r="P562" s="515">
        <v>44620</v>
      </c>
      <c r="Q562" s="516">
        <v>0</v>
      </c>
    </row>
    <row r="563" spans="1:17" ht="16.5">
      <c r="A563" s="9">
        <v>2022</v>
      </c>
      <c r="B563" s="10" t="s">
        <v>748</v>
      </c>
      <c r="C563" s="511" t="s">
        <v>749</v>
      </c>
      <c r="D563" s="512">
        <v>218000</v>
      </c>
      <c r="E563" s="512">
        <v>0</v>
      </c>
      <c r="F563" s="512"/>
      <c r="G563" s="512">
        <v>102000</v>
      </c>
      <c r="H563" s="512">
        <v>10.199999999999999</v>
      </c>
      <c r="I563" s="512"/>
      <c r="J563" s="512" t="s">
        <v>248</v>
      </c>
      <c r="K563" s="512" t="b">
        <v>1</v>
      </c>
      <c r="L563" s="512">
        <v>11</v>
      </c>
      <c r="M563" s="513">
        <v>2033</v>
      </c>
      <c r="N563" s="514">
        <v>0</v>
      </c>
      <c r="O563" s="515">
        <v>44620</v>
      </c>
      <c r="P563" s="515">
        <v>44620</v>
      </c>
      <c r="Q563" s="516">
        <v>0</v>
      </c>
    </row>
    <row r="564" spans="1:17" ht="16.5">
      <c r="A564" s="9">
        <v>2022</v>
      </c>
      <c r="B564" s="10" t="s">
        <v>748</v>
      </c>
      <c r="C564" s="511" t="s">
        <v>749</v>
      </c>
      <c r="D564" s="512">
        <v>218000</v>
      </c>
      <c r="E564" s="512">
        <v>0</v>
      </c>
      <c r="F564" s="512"/>
      <c r="G564" s="512">
        <v>102000</v>
      </c>
      <c r="H564" s="512">
        <v>10.199999999999999</v>
      </c>
      <c r="I564" s="512"/>
      <c r="J564" s="512" t="s">
        <v>248</v>
      </c>
      <c r="K564" s="512" t="b">
        <v>1</v>
      </c>
      <c r="L564" s="512">
        <v>10</v>
      </c>
      <c r="M564" s="513">
        <v>2032</v>
      </c>
      <c r="N564" s="514">
        <v>0</v>
      </c>
      <c r="O564" s="515">
        <v>44620</v>
      </c>
      <c r="P564" s="515">
        <v>44620</v>
      </c>
      <c r="Q564" s="516">
        <v>0</v>
      </c>
    </row>
    <row r="565" spans="1:17" ht="16.5">
      <c r="A565" s="9">
        <v>2022</v>
      </c>
      <c r="B565" s="10" t="s">
        <v>748</v>
      </c>
      <c r="C565" s="511" t="s">
        <v>749</v>
      </c>
      <c r="D565" s="512">
        <v>218000</v>
      </c>
      <c r="E565" s="512">
        <v>0</v>
      </c>
      <c r="F565" s="512"/>
      <c r="G565" s="512">
        <v>102000</v>
      </c>
      <c r="H565" s="512">
        <v>10.199999999999999</v>
      </c>
      <c r="I565" s="512"/>
      <c r="J565" s="512" t="s">
        <v>248</v>
      </c>
      <c r="K565" s="512" t="b">
        <v>1</v>
      </c>
      <c r="L565" s="512">
        <v>4</v>
      </c>
      <c r="M565" s="513">
        <v>2026</v>
      </c>
      <c r="N565" s="514">
        <v>0</v>
      </c>
      <c r="O565" s="515">
        <v>44620</v>
      </c>
      <c r="P565" s="515">
        <v>44620</v>
      </c>
      <c r="Q565" s="516">
        <v>0</v>
      </c>
    </row>
    <row r="566" spans="1:17" ht="16.5">
      <c r="A566" s="9">
        <v>2022</v>
      </c>
      <c r="B566" s="10" t="s">
        <v>748</v>
      </c>
      <c r="C566" s="511" t="s">
        <v>749</v>
      </c>
      <c r="D566" s="512">
        <v>218000</v>
      </c>
      <c r="E566" s="512">
        <v>0</v>
      </c>
      <c r="F566" s="512"/>
      <c r="G566" s="512">
        <v>102000</v>
      </c>
      <c r="H566" s="512">
        <v>10.199999999999999</v>
      </c>
      <c r="I566" s="512"/>
      <c r="J566" s="512" t="s">
        <v>248</v>
      </c>
      <c r="K566" s="512" t="b">
        <v>1</v>
      </c>
      <c r="L566" s="512">
        <v>6</v>
      </c>
      <c r="M566" s="513">
        <v>2028</v>
      </c>
      <c r="N566" s="514">
        <v>0</v>
      </c>
      <c r="O566" s="515">
        <v>44620</v>
      </c>
      <c r="P566" s="515">
        <v>44620</v>
      </c>
      <c r="Q566" s="516">
        <v>0</v>
      </c>
    </row>
    <row r="567" spans="1:17" ht="16.5">
      <c r="A567" s="9">
        <v>2022</v>
      </c>
      <c r="B567" s="10" t="s">
        <v>748</v>
      </c>
      <c r="C567" s="511" t="s">
        <v>749</v>
      </c>
      <c r="D567" s="512">
        <v>218000</v>
      </c>
      <c r="E567" s="512">
        <v>0</v>
      </c>
      <c r="F567" s="512"/>
      <c r="G567" s="512">
        <v>102000</v>
      </c>
      <c r="H567" s="512">
        <v>10.199999999999999</v>
      </c>
      <c r="I567" s="512"/>
      <c r="J567" s="512" t="s">
        <v>248</v>
      </c>
      <c r="K567" s="512" t="b">
        <v>1</v>
      </c>
      <c r="L567" s="512">
        <v>0</v>
      </c>
      <c r="M567" s="513">
        <v>2022</v>
      </c>
      <c r="N567" s="514">
        <v>0</v>
      </c>
      <c r="O567" s="515">
        <v>44620</v>
      </c>
      <c r="P567" s="515">
        <v>44620</v>
      </c>
      <c r="Q567" s="516">
        <v>0</v>
      </c>
    </row>
    <row r="568" spans="1:17" ht="16.5">
      <c r="A568" s="9">
        <v>2022</v>
      </c>
      <c r="B568" s="10" t="s">
        <v>748</v>
      </c>
      <c r="C568" s="511" t="s">
        <v>749</v>
      </c>
      <c r="D568" s="512">
        <v>218000</v>
      </c>
      <c r="E568" s="512">
        <v>0</v>
      </c>
      <c r="F568" s="512"/>
      <c r="G568" s="512">
        <v>102000</v>
      </c>
      <c r="H568" s="512">
        <v>10.199999999999999</v>
      </c>
      <c r="I568" s="512"/>
      <c r="J568" s="512" t="s">
        <v>248</v>
      </c>
      <c r="K568" s="512" t="b">
        <v>1</v>
      </c>
      <c r="L568" s="512">
        <v>8</v>
      </c>
      <c r="M568" s="513">
        <v>2030</v>
      </c>
      <c r="N568" s="514">
        <v>0</v>
      </c>
      <c r="O568" s="515">
        <v>44620</v>
      </c>
      <c r="P568" s="515">
        <v>44620</v>
      </c>
      <c r="Q568" s="516">
        <v>0</v>
      </c>
    </row>
    <row r="569" spans="1:17" ht="16.5">
      <c r="A569" s="9">
        <v>2022</v>
      </c>
      <c r="B569" s="10" t="s">
        <v>748</v>
      </c>
      <c r="C569" s="511" t="s">
        <v>749</v>
      </c>
      <c r="D569" s="512">
        <v>218000</v>
      </c>
      <c r="E569" s="512">
        <v>0</v>
      </c>
      <c r="F569" s="512"/>
      <c r="G569" s="512">
        <v>102000</v>
      </c>
      <c r="H569" s="512">
        <v>10.199999999999999</v>
      </c>
      <c r="I569" s="512"/>
      <c r="J569" s="512" t="s">
        <v>248</v>
      </c>
      <c r="K569" s="512" t="b">
        <v>1</v>
      </c>
      <c r="L569" s="512">
        <v>7</v>
      </c>
      <c r="M569" s="513">
        <v>2029</v>
      </c>
      <c r="N569" s="514">
        <v>0</v>
      </c>
      <c r="O569" s="515">
        <v>44620</v>
      </c>
      <c r="P569" s="515">
        <v>44620</v>
      </c>
      <c r="Q569" s="516">
        <v>0</v>
      </c>
    </row>
    <row r="570" spans="1:17" ht="16.5">
      <c r="A570" s="9">
        <v>2022</v>
      </c>
      <c r="B570" s="10" t="s">
        <v>748</v>
      </c>
      <c r="C570" s="511" t="s">
        <v>749</v>
      </c>
      <c r="D570" s="512">
        <v>218000</v>
      </c>
      <c r="E570" s="512">
        <v>0</v>
      </c>
      <c r="F570" s="512"/>
      <c r="G570" s="512">
        <v>102000</v>
      </c>
      <c r="H570" s="512">
        <v>10.199999999999999</v>
      </c>
      <c r="I570" s="512"/>
      <c r="J570" s="512" t="s">
        <v>248</v>
      </c>
      <c r="K570" s="512" t="b">
        <v>1</v>
      </c>
      <c r="L570" s="512">
        <v>1</v>
      </c>
      <c r="M570" s="513">
        <v>2023</v>
      </c>
      <c r="N570" s="514">
        <v>0</v>
      </c>
      <c r="O570" s="515">
        <v>44620</v>
      </c>
      <c r="P570" s="515">
        <v>44620</v>
      </c>
      <c r="Q570" s="516">
        <v>0</v>
      </c>
    </row>
    <row r="571" spans="1:17" ht="16.5">
      <c r="A571" s="9">
        <v>2022</v>
      </c>
      <c r="B571" s="10" t="s">
        <v>748</v>
      </c>
      <c r="C571" s="511" t="s">
        <v>749</v>
      </c>
      <c r="D571" s="512">
        <v>218000</v>
      </c>
      <c r="E571" s="512">
        <v>0</v>
      </c>
      <c r="F571" s="512"/>
      <c r="G571" s="512">
        <v>109110</v>
      </c>
      <c r="H571" s="512">
        <v>10.11</v>
      </c>
      <c r="I571" s="512"/>
      <c r="J571" s="512" t="s">
        <v>770</v>
      </c>
      <c r="K571" s="512" t="b">
        <v>1</v>
      </c>
      <c r="L571" s="512">
        <v>8</v>
      </c>
      <c r="M571" s="513">
        <v>2030</v>
      </c>
      <c r="N571" s="514">
        <v>0</v>
      </c>
      <c r="O571" s="515">
        <v>44620</v>
      </c>
      <c r="P571" s="515">
        <v>44620</v>
      </c>
      <c r="Q571" s="516">
        <v>0</v>
      </c>
    </row>
    <row r="572" spans="1:17" ht="16.5">
      <c r="A572" s="9">
        <v>2022</v>
      </c>
      <c r="B572" s="10" t="s">
        <v>748</v>
      </c>
      <c r="C572" s="511" t="s">
        <v>749</v>
      </c>
      <c r="D572" s="512">
        <v>218000</v>
      </c>
      <c r="E572" s="512">
        <v>0</v>
      </c>
      <c r="F572" s="512"/>
      <c r="G572" s="512">
        <v>109110</v>
      </c>
      <c r="H572" s="512">
        <v>10.11</v>
      </c>
      <c r="I572" s="512"/>
      <c r="J572" s="512" t="s">
        <v>770</v>
      </c>
      <c r="K572" s="512" t="b">
        <v>1</v>
      </c>
      <c r="L572" s="512">
        <v>4</v>
      </c>
      <c r="M572" s="513">
        <v>2026</v>
      </c>
      <c r="N572" s="514">
        <v>0</v>
      </c>
      <c r="O572" s="515">
        <v>44620</v>
      </c>
      <c r="P572" s="515">
        <v>44620</v>
      </c>
      <c r="Q572" s="516">
        <v>0</v>
      </c>
    </row>
    <row r="573" spans="1:17" ht="16.5">
      <c r="A573" s="9">
        <v>2022</v>
      </c>
      <c r="B573" s="10" t="s">
        <v>748</v>
      </c>
      <c r="C573" s="511" t="s">
        <v>749</v>
      </c>
      <c r="D573" s="512">
        <v>218000</v>
      </c>
      <c r="E573" s="512">
        <v>0</v>
      </c>
      <c r="F573" s="512"/>
      <c r="G573" s="512">
        <v>109110</v>
      </c>
      <c r="H573" s="512">
        <v>10.11</v>
      </c>
      <c r="I573" s="512"/>
      <c r="J573" s="512" t="s">
        <v>770</v>
      </c>
      <c r="K573" s="512" t="b">
        <v>1</v>
      </c>
      <c r="L573" s="512">
        <v>2</v>
      </c>
      <c r="M573" s="513">
        <v>2024</v>
      </c>
      <c r="N573" s="514">
        <v>0</v>
      </c>
      <c r="O573" s="515">
        <v>44620</v>
      </c>
      <c r="P573" s="515">
        <v>44620</v>
      </c>
      <c r="Q573" s="516">
        <v>0</v>
      </c>
    </row>
    <row r="574" spans="1:17" ht="16.5">
      <c r="A574" s="9">
        <v>2022</v>
      </c>
      <c r="B574" s="10" t="s">
        <v>748</v>
      </c>
      <c r="C574" s="511" t="s">
        <v>749</v>
      </c>
      <c r="D574" s="512">
        <v>218000</v>
      </c>
      <c r="E574" s="512">
        <v>0</v>
      </c>
      <c r="F574" s="512"/>
      <c r="G574" s="512">
        <v>109110</v>
      </c>
      <c r="H574" s="512">
        <v>10.11</v>
      </c>
      <c r="I574" s="512"/>
      <c r="J574" s="512" t="s">
        <v>770</v>
      </c>
      <c r="K574" s="512" t="b">
        <v>1</v>
      </c>
      <c r="L574" s="512">
        <v>3</v>
      </c>
      <c r="M574" s="513">
        <v>2025</v>
      </c>
      <c r="N574" s="514">
        <v>0</v>
      </c>
      <c r="O574" s="515">
        <v>44620</v>
      </c>
      <c r="P574" s="515">
        <v>44620</v>
      </c>
      <c r="Q574" s="516">
        <v>0</v>
      </c>
    </row>
    <row r="575" spans="1:17" ht="16.5">
      <c r="A575" s="9">
        <v>2022</v>
      </c>
      <c r="B575" s="10" t="s">
        <v>748</v>
      </c>
      <c r="C575" s="511" t="s">
        <v>749</v>
      </c>
      <c r="D575" s="512">
        <v>218000</v>
      </c>
      <c r="E575" s="512">
        <v>0</v>
      </c>
      <c r="F575" s="512"/>
      <c r="G575" s="512">
        <v>109110</v>
      </c>
      <c r="H575" s="512">
        <v>10.11</v>
      </c>
      <c r="I575" s="512"/>
      <c r="J575" s="512" t="s">
        <v>770</v>
      </c>
      <c r="K575" s="512" t="b">
        <v>1</v>
      </c>
      <c r="L575" s="512">
        <v>9</v>
      </c>
      <c r="M575" s="513">
        <v>2031</v>
      </c>
      <c r="N575" s="514">
        <v>0</v>
      </c>
      <c r="O575" s="515">
        <v>44620</v>
      </c>
      <c r="P575" s="515">
        <v>44620</v>
      </c>
      <c r="Q575" s="516">
        <v>0</v>
      </c>
    </row>
    <row r="576" spans="1:17" ht="16.5">
      <c r="A576" s="9">
        <v>2022</v>
      </c>
      <c r="B576" s="10" t="s">
        <v>748</v>
      </c>
      <c r="C576" s="511" t="s">
        <v>749</v>
      </c>
      <c r="D576" s="512">
        <v>218000</v>
      </c>
      <c r="E576" s="512">
        <v>0</v>
      </c>
      <c r="F576" s="512"/>
      <c r="G576" s="512">
        <v>109110</v>
      </c>
      <c r="H576" s="512">
        <v>10.11</v>
      </c>
      <c r="I576" s="512"/>
      <c r="J576" s="512" t="s">
        <v>770</v>
      </c>
      <c r="K576" s="512" t="b">
        <v>1</v>
      </c>
      <c r="L576" s="512">
        <v>10</v>
      </c>
      <c r="M576" s="513">
        <v>2032</v>
      </c>
      <c r="N576" s="514">
        <v>0</v>
      </c>
      <c r="O576" s="515">
        <v>44620</v>
      </c>
      <c r="P576" s="515">
        <v>44620</v>
      </c>
      <c r="Q576" s="516">
        <v>0</v>
      </c>
    </row>
    <row r="577" spans="1:17" ht="16.5">
      <c r="A577" s="9">
        <v>2022</v>
      </c>
      <c r="B577" s="10" t="s">
        <v>748</v>
      </c>
      <c r="C577" s="511" t="s">
        <v>749</v>
      </c>
      <c r="D577" s="512">
        <v>218000</v>
      </c>
      <c r="E577" s="512">
        <v>0</v>
      </c>
      <c r="F577" s="512"/>
      <c r="G577" s="512">
        <v>109110</v>
      </c>
      <c r="H577" s="512">
        <v>10.11</v>
      </c>
      <c r="I577" s="512"/>
      <c r="J577" s="512" t="s">
        <v>770</v>
      </c>
      <c r="K577" s="512" t="b">
        <v>1</v>
      </c>
      <c r="L577" s="512">
        <v>7</v>
      </c>
      <c r="M577" s="513">
        <v>2029</v>
      </c>
      <c r="N577" s="514">
        <v>0</v>
      </c>
      <c r="O577" s="515">
        <v>44620</v>
      </c>
      <c r="P577" s="515">
        <v>44620</v>
      </c>
      <c r="Q577" s="516">
        <v>0</v>
      </c>
    </row>
    <row r="578" spans="1:17" ht="16.5">
      <c r="A578" s="9">
        <v>2022</v>
      </c>
      <c r="B578" s="10" t="s">
        <v>748</v>
      </c>
      <c r="C578" s="511" t="s">
        <v>749</v>
      </c>
      <c r="D578" s="512">
        <v>218000</v>
      </c>
      <c r="E578" s="512">
        <v>0</v>
      </c>
      <c r="F578" s="512"/>
      <c r="G578" s="512">
        <v>109110</v>
      </c>
      <c r="H578" s="512">
        <v>10.11</v>
      </c>
      <c r="I578" s="512"/>
      <c r="J578" s="512" t="s">
        <v>770</v>
      </c>
      <c r="K578" s="512" t="b">
        <v>1</v>
      </c>
      <c r="L578" s="512">
        <v>11</v>
      </c>
      <c r="M578" s="513">
        <v>2033</v>
      </c>
      <c r="N578" s="514">
        <v>0</v>
      </c>
      <c r="O578" s="515">
        <v>44620</v>
      </c>
      <c r="P578" s="515">
        <v>44620</v>
      </c>
      <c r="Q578" s="516">
        <v>0</v>
      </c>
    </row>
    <row r="579" spans="1:17" ht="16.5">
      <c r="A579" s="9">
        <v>2022</v>
      </c>
      <c r="B579" s="10" t="s">
        <v>748</v>
      </c>
      <c r="C579" s="511" t="s">
        <v>749</v>
      </c>
      <c r="D579" s="512">
        <v>218000</v>
      </c>
      <c r="E579" s="512">
        <v>0</v>
      </c>
      <c r="F579" s="512"/>
      <c r="G579" s="512">
        <v>109110</v>
      </c>
      <c r="H579" s="512">
        <v>10.11</v>
      </c>
      <c r="I579" s="512"/>
      <c r="J579" s="512" t="s">
        <v>770</v>
      </c>
      <c r="K579" s="512" t="b">
        <v>1</v>
      </c>
      <c r="L579" s="512">
        <v>6</v>
      </c>
      <c r="M579" s="513">
        <v>2028</v>
      </c>
      <c r="N579" s="514">
        <v>0</v>
      </c>
      <c r="O579" s="515">
        <v>44620</v>
      </c>
      <c r="P579" s="515">
        <v>44620</v>
      </c>
      <c r="Q579" s="516">
        <v>0</v>
      </c>
    </row>
    <row r="580" spans="1:17" ht="16.5">
      <c r="A580" s="9">
        <v>2022</v>
      </c>
      <c r="B580" s="10" t="s">
        <v>748</v>
      </c>
      <c r="C580" s="511" t="s">
        <v>749</v>
      </c>
      <c r="D580" s="512">
        <v>218000</v>
      </c>
      <c r="E580" s="512">
        <v>0</v>
      </c>
      <c r="F580" s="512"/>
      <c r="G580" s="512">
        <v>109110</v>
      </c>
      <c r="H580" s="512">
        <v>10.11</v>
      </c>
      <c r="I580" s="512"/>
      <c r="J580" s="512" t="s">
        <v>770</v>
      </c>
      <c r="K580" s="512" t="b">
        <v>1</v>
      </c>
      <c r="L580" s="512">
        <v>1</v>
      </c>
      <c r="M580" s="513">
        <v>2023</v>
      </c>
      <c r="N580" s="514">
        <v>0</v>
      </c>
      <c r="O580" s="515">
        <v>44620</v>
      </c>
      <c r="P580" s="515">
        <v>44620</v>
      </c>
      <c r="Q580" s="516">
        <v>0</v>
      </c>
    </row>
    <row r="581" spans="1:17" ht="16.5">
      <c r="A581" s="9">
        <v>2022</v>
      </c>
      <c r="B581" s="10" t="s">
        <v>748</v>
      </c>
      <c r="C581" s="511" t="s">
        <v>749</v>
      </c>
      <c r="D581" s="512">
        <v>218000</v>
      </c>
      <c r="E581" s="512">
        <v>0</v>
      </c>
      <c r="F581" s="512"/>
      <c r="G581" s="512">
        <v>109110</v>
      </c>
      <c r="H581" s="512">
        <v>10.11</v>
      </c>
      <c r="I581" s="512"/>
      <c r="J581" s="512" t="s">
        <v>770</v>
      </c>
      <c r="K581" s="512" t="b">
        <v>1</v>
      </c>
      <c r="L581" s="512">
        <v>5</v>
      </c>
      <c r="M581" s="513">
        <v>2027</v>
      </c>
      <c r="N581" s="514">
        <v>0</v>
      </c>
      <c r="O581" s="515">
        <v>44620</v>
      </c>
      <c r="P581" s="515">
        <v>44620</v>
      </c>
      <c r="Q581" s="516">
        <v>0</v>
      </c>
    </row>
    <row r="582" spans="1:17" ht="16.5">
      <c r="A582" s="9">
        <v>2022</v>
      </c>
      <c r="B582" s="10" t="s">
        <v>748</v>
      </c>
      <c r="C582" s="511" t="s">
        <v>749</v>
      </c>
      <c r="D582" s="512">
        <v>218000</v>
      </c>
      <c r="E582" s="512">
        <v>0</v>
      </c>
      <c r="F582" s="512"/>
      <c r="G582" s="512">
        <v>109110</v>
      </c>
      <c r="H582" s="512">
        <v>10.11</v>
      </c>
      <c r="I582" s="512"/>
      <c r="J582" s="512" t="s">
        <v>770</v>
      </c>
      <c r="K582" s="512" t="b">
        <v>1</v>
      </c>
      <c r="L582" s="512">
        <v>0</v>
      </c>
      <c r="M582" s="513">
        <v>2022</v>
      </c>
      <c r="N582" s="514">
        <v>0</v>
      </c>
      <c r="O582" s="515">
        <v>44620</v>
      </c>
      <c r="P582" s="515">
        <v>44620</v>
      </c>
      <c r="Q582" s="516">
        <v>0</v>
      </c>
    </row>
    <row r="583" spans="1:17" ht="16.5">
      <c r="A583" s="9">
        <v>2022</v>
      </c>
      <c r="B583" s="10" t="s">
        <v>748</v>
      </c>
      <c r="C583" s="511" t="s">
        <v>749</v>
      </c>
      <c r="D583" s="512">
        <v>218000</v>
      </c>
      <c r="E583" s="512">
        <v>0</v>
      </c>
      <c r="F583" s="512"/>
      <c r="G583" s="512">
        <v>80000</v>
      </c>
      <c r="H583" s="512">
        <v>8</v>
      </c>
      <c r="I583" s="512"/>
      <c r="J583" s="512" t="s">
        <v>65</v>
      </c>
      <c r="K583" s="512" t="b">
        <v>0</v>
      </c>
      <c r="L583" s="512">
        <v>10</v>
      </c>
      <c r="M583" s="513">
        <v>2032</v>
      </c>
      <c r="N583" s="514">
        <v>0</v>
      </c>
      <c r="O583" s="515">
        <v>44620</v>
      </c>
      <c r="P583" s="515">
        <v>44620</v>
      </c>
      <c r="Q583" s="516">
        <v>0</v>
      </c>
    </row>
    <row r="584" spans="1:17" ht="16.5">
      <c r="A584" s="9">
        <v>2022</v>
      </c>
      <c r="B584" s="10" t="s">
        <v>748</v>
      </c>
      <c r="C584" s="511" t="s">
        <v>749</v>
      </c>
      <c r="D584" s="512">
        <v>218000</v>
      </c>
      <c r="E584" s="512">
        <v>0</v>
      </c>
      <c r="F584" s="512"/>
      <c r="G584" s="512">
        <v>80000</v>
      </c>
      <c r="H584" s="512">
        <v>8</v>
      </c>
      <c r="I584" s="512"/>
      <c r="J584" s="512" t="s">
        <v>65</v>
      </c>
      <c r="K584" s="512" t="b">
        <v>0</v>
      </c>
      <c r="L584" s="512">
        <v>6</v>
      </c>
      <c r="M584" s="513">
        <v>2028</v>
      </c>
      <c r="N584" s="514">
        <v>0</v>
      </c>
      <c r="O584" s="515">
        <v>44620</v>
      </c>
      <c r="P584" s="515">
        <v>44620</v>
      </c>
      <c r="Q584" s="516">
        <v>0</v>
      </c>
    </row>
    <row r="585" spans="1:17" ht="16.5">
      <c r="A585" s="9">
        <v>2022</v>
      </c>
      <c r="B585" s="10" t="s">
        <v>748</v>
      </c>
      <c r="C585" s="511" t="s">
        <v>749</v>
      </c>
      <c r="D585" s="512">
        <v>218000</v>
      </c>
      <c r="E585" s="512">
        <v>0</v>
      </c>
      <c r="F585" s="512"/>
      <c r="G585" s="512">
        <v>80000</v>
      </c>
      <c r="H585" s="512">
        <v>8</v>
      </c>
      <c r="I585" s="512"/>
      <c r="J585" s="512" t="s">
        <v>65</v>
      </c>
      <c r="K585" s="512" t="b">
        <v>0</v>
      </c>
      <c r="L585" s="512">
        <v>5</v>
      </c>
      <c r="M585" s="513">
        <v>2027</v>
      </c>
      <c r="N585" s="514">
        <v>0</v>
      </c>
      <c r="O585" s="515">
        <v>44620</v>
      </c>
      <c r="P585" s="515">
        <v>44620</v>
      </c>
      <c r="Q585" s="516">
        <v>0</v>
      </c>
    </row>
    <row r="586" spans="1:17" ht="16.5">
      <c r="A586" s="9">
        <v>2022</v>
      </c>
      <c r="B586" s="10" t="s">
        <v>748</v>
      </c>
      <c r="C586" s="511" t="s">
        <v>749</v>
      </c>
      <c r="D586" s="512">
        <v>218000</v>
      </c>
      <c r="E586" s="512">
        <v>0</v>
      </c>
      <c r="F586" s="512"/>
      <c r="G586" s="512">
        <v>80000</v>
      </c>
      <c r="H586" s="512">
        <v>8</v>
      </c>
      <c r="I586" s="512"/>
      <c r="J586" s="512" t="s">
        <v>65</v>
      </c>
      <c r="K586" s="512" t="b">
        <v>0</v>
      </c>
      <c r="L586" s="512">
        <v>7</v>
      </c>
      <c r="M586" s="513">
        <v>2029</v>
      </c>
      <c r="N586" s="514">
        <v>0</v>
      </c>
      <c r="O586" s="515">
        <v>44620</v>
      </c>
      <c r="P586" s="515">
        <v>44620</v>
      </c>
      <c r="Q586" s="516">
        <v>0</v>
      </c>
    </row>
    <row r="587" spans="1:17" ht="16.5">
      <c r="A587" s="9">
        <v>2022</v>
      </c>
      <c r="B587" s="10" t="s">
        <v>748</v>
      </c>
      <c r="C587" s="511" t="s">
        <v>749</v>
      </c>
      <c r="D587" s="512">
        <v>218000</v>
      </c>
      <c r="E587" s="512">
        <v>0</v>
      </c>
      <c r="F587" s="512"/>
      <c r="G587" s="512">
        <v>80000</v>
      </c>
      <c r="H587" s="512">
        <v>8</v>
      </c>
      <c r="I587" s="512"/>
      <c r="J587" s="512" t="s">
        <v>65</v>
      </c>
      <c r="K587" s="512" t="b">
        <v>0</v>
      </c>
      <c r="L587" s="512">
        <v>11</v>
      </c>
      <c r="M587" s="513">
        <v>2033</v>
      </c>
      <c r="N587" s="514">
        <v>0</v>
      </c>
      <c r="O587" s="515">
        <v>44620</v>
      </c>
      <c r="P587" s="515">
        <v>44620</v>
      </c>
      <c r="Q587" s="516">
        <v>0</v>
      </c>
    </row>
    <row r="588" spans="1:17" ht="16.5">
      <c r="A588" s="9">
        <v>2022</v>
      </c>
      <c r="B588" s="10" t="s">
        <v>748</v>
      </c>
      <c r="C588" s="511" t="s">
        <v>749</v>
      </c>
      <c r="D588" s="512">
        <v>218000</v>
      </c>
      <c r="E588" s="512">
        <v>0</v>
      </c>
      <c r="F588" s="512"/>
      <c r="G588" s="512">
        <v>80000</v>
      </c>
      <c r="H588" s="512">
        <v>8</v>
      </c>
      <c r="I588" s="512"/>
      <c r="J588" s="512" t="s">
        <v>65</v>
      </c>
      <c r="K588" s="512" t="b">
        <v>0</v>
      </c>
      <c r="L588" s="512">
        <v>9</v>
      </c>
      <c r="M588" s="513">
        <v>2031</v>
      </c>
      <c r="N588" s="514">
        <v>0</v>
      </c>
      <c r="O588" s="515">
        <v>44620</v>
      </c>
      <c r="P588" s="515">
        <v>44620</v>
      </c>
      <c r="Q588" s="516">
        <v>0</v>
      </c>
    </row>
    <row r="589" spans="1:17" ht="16.5">
      <c r="A589" s="9">
        <v>2022</v>
      </c>
      <c r="B589" s="10" t="s">
        <v>748</v>
      </c>
      <c r="C589" s="511" t="s">
        <v>749</v>
      </c>
      <c r="D589" s="512">
        <v>218000</v>
      </c>
      <c r="E589" s="512">
        <v>0</v>
      </c>
      <c r="F589" s="512"/>
      <c r="G589" s="512">
        <v>80000</v>
      </c>
      <c r="H589" s="512">
        <v>8</v>
      </c>
      <c r="I589" s="512"/>
      <c r="J589" s="512" t="s">
        <v>65</v>
      </c>
      <c r="K589" s="512" t="b">
        <v>0</v>
      </c>
      <c r="L589" s="512">
        <v>3</v>
      </c>
      <c r="M589" s="513">
        <v>2025</v>
      </c>
      <c r="N589" s="514">
        <v>0</v>
      </c>
      <c r="O589" s="515">
        <v>44620</v>
      </c>
      <c r="P589" s="515">
        <v>44620</v>
      </c>
      <c r="Q589" s="516">
        <v>0</v>
      </c>
    </row>
    <row r="590" spans="1:17" ht="16.5">
      <c r="A590" s="9">
        <v>2022</v>
      </c>
      <c r="B590" s="10" t="s">
        <v>748</v>
      </c>
      <c r="C590" s="511" t="s">
        <v>749</v>
      </c>
      <c r="D590" s="512">
        <v>218000</v>
      </c>
      <c r="E590" s="512">
        <v>0</v>
      </c>
      <c r="F590" s="512"/>
      <c r="G590" s="512">
        <v>80000</v>
      </c>
      <c r="H590" s="512">
        <v>8</v>
      </c>
      <c r="I590" s="512"/>
      <c r="J590" s="512" t="s">
        <v>65</v>
      </c>
      <c r="K590" s="512" t="b">
        <v>0</v>
      </c>
      <c r="L590" s="512">
        <v>1</v>
      </c>
      <c r="M590" s="513">
        <v>2023</v>
      </c>
      <c r="N590" s="514">
        <v>0</v>
      </c>
      <c r="O590" s="515">
        <v>44620</v>
      </c>
      <c r="P590" s="515">
        <v>44620</v>
      </c>
      <c r="Q590" s="516">
        <v>0</v>
      </c>
    </row>
    <row r="591" spans="1:17" ht="16.5">
      <c r="A591" s="9">
        <v>2022</v>
      </c>
      <c r="B591" s="10" t="s">
        <v>748</v>
      </c>
      <c r="C591" s="511" t="s">
        <v>749</v>
      </c>
      <c r="D591" s="512">
        <v>218000</v>
      </c>
      <c r="E591" s="512">
        <v>0</v>
      </c>
      <c r="F591" s="512"/>
      <c r="G591" s="512">
        <v>80000</v>
      </c>
      <c r="H591" s="512">
        <v>8</v>
      </c>
      <c r="I591" s="512"/>
      <c r="J591" s="512" t="s">
        <v>65</v>
      </c>
      <c r="K591" s="512" t="b">
        <v>0</v>
      </c>
      <c r="L591" s="512">
        <v>4</v>
      </c>
      <c r="M591" s="513">
        <v>2026</v>
      </c>
      <c r="N591" s="514">
        <v>0</v>
      </c>
      <c r="O591" s="515">
        <v>44620</v>
      </c>
      <c r="P591" s="515">
        <v>44620</v>
      </c>
      <c r="Q591" s="516">
        <v>0</v>
      </c>
    </row>
    <row r="592" spans="1:17" ht="16.5">
      <c r="A592" s="9">
        <v>2022</v>
      </c>
      <c r="B592" s="10" t="s">
        <v>748</v>
      </c>
      <c r="C592" s="511" t="s">
        <v>749</v>
      </c>
      <c r="D592" s="512">
        <v>218000</v>
      </c>
      <c r="E592" s="512">
        <v>0</v>
      </c>
      <c r="F592" s="512"/>
      <c r="G592" s="512">
        <v>80000</v>
      </c>
      <c r="H592" s="512">
        <v>8</v>
      </c>
      <c r="I592" s="512"/>
      <c r="J592" s="512" t="s">
        <v>65</v>
      </c>
      <c r="K592" s="512" t="b">
        <v>0</v>
      </c>
      <c r="L592" s="512">
        <v>8</v>
      </c>
      <c r="M592" s="513">
        <v>2030</v>
      </c>
      <c r="N592" s="514">
        <v>0</v>
      </c>
      <c r="O592" s="515">
        <v>44620</v>
      </c>
      <c r="P592" s="515">
        <v>44620</v>
      </c>
      <c r="Q592" s="516">
        <v>0</v>
      </c>
    </row>
    <row r="593" spans="1:17" ht="16.5">
      <c r="A593" s="9">
        <v>2022</v>
      </c>
      <c r="B593" s="10" t="s">
        <v>748</v>
      </c>
      <c r="C593" s="511" t="s">
        <v>749</v>
      </c>
      <c r="D593" s="512">
        <v>218000</v>
      </c>
      <c r="E593" s="512">
        <v>0</v>
      </c>
      <c r="F593" s="512"/>
      <c r="G593" s="512">
        <v>80000</v>
      </c>
      <c r="H593" s="512">
        <v>8</v>
      </c>
      <c r="I593" s="512"/>
      <c r="J593" s="512" t="s">
        <v>65</v>
      </c>
      <c r="K593" s="512" t="b">
        <v>0</v>
      </c>
      <c r="L593" s="512">
        <v>2</v>
      </c>
      <c r="M593" s="513">
        <v>2024</v>
      </c>
      <c r="N593" s="514">
        <v>0</v>
      </c>
      <c r="O593" s="515">
        <v>44620</v>
      </c>
      <c r="P593" s="515">
        <v>44620</v>
      </c>
      <c r="Q593" s="516">
        <v>0</v>
      </c>
    </row>
    <row r="594" spans="1:17" ht="16.5">
      <c r="A594" s="9">
        <v>2022</v>
      </c>
      <c r="B594" s="10" t="s">
        <v>748</v>
      </c>
      <c r="C594" s="511" t="s">
        <v>749</v>
      </c>
      <c r="D594" s="512">
        <v>218000</v>
      </c>
      <c r="E594" s="512">
        <v>0</v>
      </c>
      <c r="F594" s="512"/>
      <c r="G594" s="512">
        <v>80000</v>
      </c>
      <c r="H594" s="512">
        <v>8</v>
      </c>
      <c r="I594" s="512"/>
      <c r="J594" s="512" t="s">
        <v>65</v>
      </c>
      <c r="K594" s="512" t="b">
        <v>0</v>
      </c>
      <c r="L594" s="512">
        <v>0</v>
      </c>
      <c r="M594" s="513">
        <v>2022</v>
      </c>
      <c r="N594" s="514">
        <v>0</v>
      </c>
      <c r="O594" s="515">
        <v>44620</v>
      </c>
      <c r="P594" s="515">
        <v>44620</v>
      </c>
      <c r="Q594" s="516">
        <v>0</v>
      </c>
    </row>
    <row r="595" spans="1:17" ht="16.5">
      <c r="A595" s="9">
        <v>2022</v>
      </c>
      <c r="B595" s="10" t="s">
        <v>748</v>
      </c>
      <c r="C595" s="511" t="s">
        <v>749</v>
      </c>
      <c r="D595" s="512">
        <v>218000</v>
      </c>
      <c r="E595" s="512">
        <v>0</v>
      </c>
      <c r="F595" s="512"/>
      <c r="G595" s="512">
        <v>84000</v>
      </c>
      <c r="H595" s="512">
        <v>8.4</v>
      </c>
      <c r="I595" s="512" t="s">
        <v>771</v>
      </c>
      <c r="J595" s="512" t="s">
        <v>231</v>
      </c>
      <c r="K595" s="512" t="b">
        <v>0</v>
      </c>
      <c r="L595" s="512">
        <v>5</v>
      </c>
      <c r="M595" s="513">
        <v>2027</v>
      </c>
      <c r="N595" s="514">
        <v>347</v>
      </c>
      <c r="O595" s="515">
        <v>44620</v>
      </c>
      <c r="P595" s="515">
        <v>44620</v>
      </c>
      <c r="Q595" s="516">
        <v>0</v>
      </c>
    </row>
    <row r="596" spans="1:17" ht="16.5">
      <c r="A596" s="9">
        <v>2022</v>
      </c>
      <c r="B596" s="10" t="s">
        <v>748</v>
      </c>
      <c r="C596" s="511" t="s">
        <v>749</v>
      </c>
      <c r="D596" s="512">
        <v>218000</v>
      </c>
      <c r="E596" s="512">
        <v>0</v>
      </c>
      <c r="F596" s="512"/>
      <c r="G596" s="512">
        <v>84000</v>
      </c>
      <c r="H596" s="512">
        <v>8.4</v>
      </c>
      <c r="I596" s="512" t="s">
        <v>771</v>
      </c>
      <c r="J596" s="512" t="s">
        <v>231</v>
      </c>
      <c r="K596" s="512" t="b">
        <v>0</v>
      </c>
      <c r="L596" s="512">
        <v>10</v>
      </c>
      <c r="M596" s="513">
        <v>2032</v>
      </c>
      <c r="N596" s="514">
        <v>804</v>
      </c>
      <c r="O596" s="515">
        <v>44620</v>
      </c>
      <c r="P596" s="515">
        <v>44620</v>
      </c>
      <c r="Q596" s="516">
        <v>0</v>
      </c>
    </row>
    <row r="597" spans="1:17" ht="16.5">
      <c r="A597" s="9">
        <v>2022</v>
      </c>
      <c r="B597" s="10" t="s">
        <v>748</v>
      </c>
      <c r="C597" s="511" t="s">
        <v>749</v>
      </c>
      <c r="D597" s="512">
        <v>218000</v>
      </c>
      <c r="E597" s="512">
        <v>0</v>
      </c>
      <c r="F597" s="512"/>
      <c r="G597" s="512">
        <v>84000</v>
      </c>
      <c r="H597" s="512">
        <v>8.4</v>
      </c>
      <c r="I597" s="512" t="s">
        <v>771</v>
      </c>
      <c r="J597" s="512" t="s">
        <v>231</v>
      </c>
      <c r="K597" s="512" t="b">
        <v>0</v>
      </c>
      <c r="L597" s="512">
        <v>3</v>
      </c>
      <c r="M597" s="513">
        <v>2025</v>
      </c>
      <c r="N597" s="514">
        <v>549</v>
      </c>
      <c r="O597" s="515">
        <v>44620</v>
      </c>
      <c r="P597" s="515">
        <v>44620</v>
      </c>
      <c r="Q597" s="516">
        <v>0</v>
      </c>
    </row>
    <row r="598" spans="1:17" ht="16.5">
      <c r="A598" s="9">
        <v>2022</v>
      </c>
      <c r="B598" s="10" t="s">
        <v>748</v>
      </c>
      <c r="C598" s="511" t="s">
        <v>749</v>
      </c>
      <c r="D598" s="512">
        <v>218000</v>
      </c>
      <c r="E598" s="512">
        <v>0</v>
      </c>
      <c r="F598" s="512"/>
      <c r="G598" s="512">
        <v>84000</v>
      </c>
      <c r="H598" s="512">
        <v>8.4</v>
      </c>
      <c r="I598" s="512" t="s">
        <v>771</v>
      </c>
      <c r="J598" s="512" t="s">
        <v>231</v>
      </c>
      <c r="K598" s="512" t="b">
        <v>0</v>
      </c>
      <c r="L598" s="512">
        <v>0</v>
      </c>
      <c r="M598" s="513">
        <v>2022</v>
      </c>
      <c r="N598" s="514">
        <v>1383</v>
      </c>
      <c r="O598" s="515">
        <v>44620</v>
      </c>
      <c r="P598" s="515">
        <v>44620</v>
      </c>
      <c r="Q598" s="516">
        <v>0</v>
      </c>
    </row>
    <row r="599" spans="1:17" ht="16.5">
      <c r="A599" s="9">
        <v>2022</v>
      </c>
      <c r="B599" s="10" t="s">
        <v>748</v>
      </c>
      <c r="C599" s="511" t="s">
        <v>749</v>
      </c>
      <c r="D599" s="512">
        <v>218000</v>
      </c>
      <c r="E599" s="512">
        <v>0</v>
      </c>
      <c r="F599" s="512"/>
      <c r="G599" s="512">
        <v>84000</v>
      </c>
      <c r="H599" s="512">
        <v>8.4</v>
      </c>
      <c r="I599" s="512" t="s">
        <v>771</v>
      </c>
      <c r="J599" s="512" t="s">
        <v>231</v>
      </c>
      <c r="K599" s="512" t="b">
        <v>0</v>
      </c>
      <c r="L599" s="512">
        <v>1</v>
      </c>
      <c r="M599" s="513">
        <v>2023</v>
      </c>
      <c r="N599" s="514">
        <v>709</v>
      </c>
      <c r="O599" s="515">
        <v>44620</v>
      </c>
      <c r="P599" s="515">
        <v>44620</v>
      </c>
      <c r="Q599" s="516">
        <v>0</v>
      </c>
    </row>
    <row r="600" spans="1:17" ht="16.5">
      <c r="A600" s="9">
        <v>2022</v>
      </c>
      <c r="B600" s="10" t="s">
        <v>748</v>
      </c>
      <c r="C600" s="511" t="s">
        <v>749</v>
      </c>
      <c r="D600" s="512">
        <v>218000</v>
      </c>
      <c r="E600" s="512">
        <v>0</v>
      </c>
      <c r="F600" s="512"/>
      <c r="G600" s="512">
        <v>84000</v>
      </c>
      <c r="H600" s="512">
        <v>8.4</v>
      </c>
      <c r="I600" s="512" t="s">
        <v>771</v>
      </c>
      <c r="J600" s="512" t="s">
        <v>231</v>
      </c>
      <c r="K600" s="512" t="b">
        <v>0</v>
      </c>
      <c r="L600" s="512">
        <v>8</v>
      </c>
      <c r="M600" s="513">
        <v>2030</v>
      </c>
      <c r="N600" s="514">
        <v>650</v>
      </c>
      <c r="O600" s="515">
        <v>44620</v>
      </c>
      <c r="P600" s="515">
        <v>44620</v>
      </c>
      <c r="Q600" s="516">
        <v>0</v>
      </c>
    </row>
    <row r="601" spans="1:17" ht="16.5">
      <c r="A601" s="9">
        <v>2022</v>
      </c>
      <c r="B601" s="10" t="s">
        <v>748</v>
      </c>
      <c r="C601" s="511" t="s">
        <v>749</v>
      </c>
      <c r="D601" s="512">
        <v>218000</v>
      </c>
      <c r="E601" s="512">
        <v>0</v>
      </c>
      <c r="F601" s="512"/>
      <c r="G601" s="512">
        <v>84000</v>
      </c>
      <c r="H601" s="512">
        <v>8.4</v>
      </c>
      <c r="I601" s="512" t="s">
        <v>771</v>
      </c>
      <c r="J601" s="512" t="s">
        <v>231</v>
      </c>
      <c r="K601" s="512" t="b">
        <v>0</v>
      </c>
      <c r="L601" s="512">
        <v>9</v>
      </c>
      <c r="M601" s="513">
        <v>2031</v>
      </c>
      <c r="N601" s="514">
        <v>748</v>
      </c>
      <c r="O601" s="515">
        <v>44620</v>
      </c>
      <c r="P601" s="515">
        <v>44620</v>
      </c>
      <c r="Q601" s="516">
        <v>0</v>
      </c>
    </row>
    <row r="602" spans="1:17" ht="16.5">
      <c r="A602" s="9">
        <v>2022</v>
      </c>
      <c r="B602" s="10" t="s">
        <v>748</v>
      </c>
      <c r="C602" s="511" t="s">
        <v>749</v>
      </c>
      <c r="D602" s="512">
        <v>218000</v>
      </c>
      <c r="E602" s="512">
        <v>0</v>
      </c>
      <c r="F602" s="512"/>
      <c r="G602" s="512">
        <v>84000</v>
      </c>
      <c r="H602" s="512">
        <v>8.4</v>
      </c>
      <c r="I602" s="512" t="s">
        <v>771</v>
      </c>
      <c r="J602" s="512" t="s">
        <v>231</v>
      </c>
      <c r="K602" s="512" t="b">
        <v>0</v>
      </c>
      <c r="L602" s="512">
        <v>6</v>
      </c>
      <c r="M602" s="513">
        <v>2028</v>
      </c>
      <c r="N602" s="514">
        <v>438</v>
      </c>
      <c r="O602" s="515">
        <v>44620</v>
      </c>
      <c r="P602" s="515">
        <v>44620</v>
      </c>
      <c r="Q602" s="516">
        <v>0</v>
      </c>
    </row>
    <row r="603" spans="1:17" ht="16.5">
      <c r="A603" s="9">
        <v>2022</v>
      </c>
      <c r="B603" s="10" t="s">
        <v>748</v>
      </c>
      <c r="C603" s="511" t="s">
        <v>749</v>
      </c>
      <c r="D603" s="512">
        <v>218000</v>
      </c>
      <c r="E603" s="512">
        <v>0</v>
      </c>
      <c r="F603" s="512"/>
      <c r="G603" s="512">
        <v>84000</v>
      </c>
      <c r="H603" s="512">
        <v>8.4</v>
      </c>
      <c r="I603" s="512" t="s">
        <v>771</v>
      </c>
      <c r="J603" s="512" t="s">
        <v>231</v>
      </c>
      <c r="K603" s="512" t="b">
        <v>0</v>
      </c>
      <c r="L603" s="512">
        <v>11</v>
      </c>
      <c r="M603" s="513">
        <v>2033</v>
      </c>
      <c r="N603" s="514">
        <v>899</v>
      </c>
      <c r="O603" s="515">
        <v>44620</v>
      </c>
      <c r="P603" s="515">
        <v>44620</v>
      </c>
      <c r="Q603" s="516">
        <v>0</v>
      </c>
    </row>
    <row r="604" spans="1:17" ht="16.5">
      <c r="A604" s="9">
        <v>2022</v>
      </c>
      <c r="B604" s="10" t="s">
        <v>748</v>
      </c>
      <c r="C604" s="511" t="s">
        <v>749</v>
      </c>
      <c r="D604" s="512">
        <v>218000</v>
      </c>
      <c r="E604" s="512">
        <v>0</v>
      </c>
      <c r="F604" s="512"/>
      <c r="G604" s="512">
        <v>84000</v>
      </c>
      <c r="H604" s="512">
        <v>8.4</v>
      </c>
      <c r="I604" s="512" t="s">
        <v>771</v>
      </c>
      <c r="J604" s="512" t="s">
        <v>231</v>
      </c>
      <c r="K604" s="512" t="b">
        <v>0</v>
      </c>
      <c r="L604" s="512">
        <v>2</v>
      </c>
      <c r="M604" s="513">
        <v>2024</v>
      </c>
      <c r="N604" s="514">
        <v>627</v>
      </c>
      <c r="O604" s="515">
        <v>44620</v>
      </c>
      <c r="P604" s="515">
        <v>44620</v>
      </c>
      <c r="Q604" s="516">
        <v>0</v>
      </c>
    </row>
    <row r="605" spans="1:17" ht="16.5">
      <c r="A605" s="9">
        <v>2022</v>
      </c>
      <c r="B605" s="10" t="s">
        <v>748</v>
      </c>
      <c r="C605" s="511" t="s">
        <v>749</v>
      </c>
      <c r="D605" s="512">
        <v>218000</v>
      </c>
      <c r="E605" s="512">
        <v>0</v>
      </c>
      <c r="F605" s="512"/>
      <c r="G605" s="512">
        <v>84000</v>
      </c>
      <c r="H605" s="512">
        <v>8.4</v>
      </c>
      <c r="I605" s="512" t="s">
        <v>771</v>
      </c>
      <c r="J605" s="512" t="s">
        <v>231</v>
      </c>
      <c r="K605" s="512" t="b">
        <v>0</v>
      </c>
      <c r="L605" s="512">
        <v>7</v>
      </c>
      <c r="M605" s="513">
        <v>2029</v>
      </c>
      <c r="N605" s="514">
        <v>519</v>
      </c>
      <c r="O605" s="515">
        <v>44620</v>
      </c>
      <c r="P605" s="515">
        <v>44620</v>
      </c>
      <c r="Q605" s="516">
        <v>0</v>
      </c>
    </row>
    <row r="606" spans="1:17" ht="16.5">
      <c r="A606" s="9">
        <v>2022</v>
      </c>
      <c r="B606" s="10" t="s">
        <v>748</v>
      </c>
      <c r="C606" s="511" t="s">
        <v>749</v>
      </c>
      <c r="D606" s="512">
        <v>218000</v>
      </c>
      <c r="E606" s="512">
        <v>0</v>
      </c>
      <c r="F606" s="512"/>
      <c r="G606" s="512">
        <v>84000</v>
      </c>
      <c r="H606" s="512">
        <v>8.4</v>
      </c>
      <c r="I606" s="512" t="s">
        <v>771</v>
      </c>
      <c r="J606" s="512" t="s">
        <v>231</v>
      </c>
      <c r="K606" s="512" t="b">
        <v>0</v>
      </c>
      <c r="L606" s="512">
        <v>4</v>
      </c>
      <c r="M606" s="513">
        <v>2026</v>
      </c>
      <c r="N606" s="514">
        <v>434</v>
      </c>
      <c r="O606" s="515">
        <v>44620</v>
      </c>
      <c r="P606" s="515">
        <v>44620</v>
      </c>
      <c r="Q606" s="516">
        <v>0</v>
      </c>
    </row>
    <row r="607" spans="1:17" ht="16.5">
      <c r="A607" s="9">
        <v>2022</v>
      </c>
      <c r="B607" s="10" t="s">
        <v>748</v>
      </c>
      <c r="C607" s="511" t="s">
        <v>749</v>
      </c>
      <c r="D607" s="512">
        <v>218000</v>
      </c>
      <c r="E607" s="512">
        <v>0</v>
      </c>
      <c r="F607" s="512"/>
      <c r="G607" s="512">
        <v>86100</v>
      </c>
      <c r="H607" s="512" t="s">
        <v>585</v>
      </c>
      <c r="I607" s="512" t="s">
        <v>772</v>
      </c>
      <c r="J607" s="512" t="s">
        <v>585</v>
      </c>
      <c r="K607" s="512" t="b">
        <v>1</v>
      </c>
      <c r="L607" s="512">
        <v>7</v>
      </c>
      <c r="M607" s="513">
        <v>2029</v>
      </c>
      <c r="N607" s="514">
        <v>3.7400000000000003E-2</v>
      </c>
      <c r="O607" s="515">
        <v>44620</v>
      </c>
      <c r="P607" s="515">
        <v>44620</v>
      </c>
      <c r="Q607" s="516">
        <v>0</v>
      </c>
    </row>
    <row r="608" spans="1:17" ht="16.5">
      <c r="A608" s="9">
        <v>2022</v>
      </c>
      <c r="B608" s="10" t="s">
        <v>748</v>
      </c>
      <c r="C608" s="511" t="s">
        <v>749</v>
      </c>
      <c r="D608" s="512">
        <v>218000</v>
      </c>
      <c r="E608" s="512">
        <v>0</v>
      </c>
      <c r="F608" s="512"/>
      <c r="G608" s="512">
        <v>86100</v>
      </c>
      <c r="H608" s="512" t="s">
        <v>585</v>
      </c>
      <c r="I608" s="512" t="s">
        <v>772</v>
      </c>
      <c r="J608" s="512" t="s">
        <v>585</v>
      </c>
      <c r="K608" s="512" t="b">
        <v>1</v>
      </c>
      <c r="L608" s="512">
        <v>2</v>
      </c>
      <c r="M608" s="513">
        <v>2024</v>
      </c>
      <c r="N608" s="514">
        <v>6.2199999999999998E-2</v>
      </c>
      <c r="O608" s="515">
        <v>44620</v>
      </c>
      <c r="P608" s="515">
        <v>44620</v>
      </c>
      <c r="Q608" s="516">
        <v>0</v>
      </c>
    </row>
    <row r="609" spans="1:17" ht="16.5">
      <c r="A609" s="9">
        <v>2022</v>
      </c>
      <c r="B609" s="10" t="s">
        <v>748</v>
      </c>
      <c r="C609" s="511" t="s">
        <v>749</v>
      </c>
      <c r="D609" s="512">
        <v>218000</v>
      </c>
      <c r="E609" s="512">
        <v>0</v>
      </c>
      <c r="F609" s="512"/>
      <c r="G609" s="512">
        <v>86100</v>
      </c>
      <c r="H609" s="512" t="s">
        <v>585</v>
      </c>
      <c r="I609" s="512" t="s">
        <v>772</v>
      </c>
      <c r="J609" s="512" t="s">
        <v>585</v>
      </c>
      <c r="K609" s="512" t="b">
        <v>1</v>
      </c>
      <c r="L609" s="512">
        <v>9</v>
      </c>
      <c r="M609" s="513">
        <v>2031</v>
      </c>
      <c r="N609" s="514">
        <v>3.3799999999999997E-2</v>
      </c>
      <c r="O609" s="515">
        <v>44620</v>
      </c>
      <c r="P609" s="515">
        <v>44620</v>
      </c>
      <c r="Q609" s="516">
        <v>0</v>
      </c>
    </row>
    <row r="610" spans="1:17" ht="16.5">
      <c r="A610" s="9">
        <v>2022</v>
      </c>
      <c r="B610" s="10" t="s">
        <v>748</v>
      </c>
      <c r="C610" s="511" t="s">
        <v>749</v>
      </c>
      <c r="D610" s="512">
        <v>218000</v>
      </c>
      <c r="E610" s="512">
        <v>0</v>
      </c>
      <c r="F610" s="512"/>
      <c r="G610" s="512">
        <v>86100</v>
      </c>
      <c r="H610" s="512" t="s">
        <v>585</v>
      </c>
      <c r="I610" s="512" t="s">
        <v>772</v>
      </c>
      <c r="J610" s="512" t="s">
        <v>585</v>
      </c>
      <c r="K610" s="512" t="b">
        <v>1</v>
      </c>
      <c r="L610" s="512">
        <v>5</v>
      </c>
      <c r="M610" s="513">
        <v>2027</v>
      </c>
      <c r="N610" s="514">
        <v>5.3699999999999998E-2</v>
      </c>
      <c r="O610" s="515">
        <v>44620</v>
      </c>
      <c r="P610" s="515">
        <v>44620</v>
      </c>
      <c r="Q610" s="516">
        <v>0</v>
      </c>
    </row>
    <row r="611" spans="1:17" ht="16.5">
      <c r="A611" s="9">
        <v>2022</v>
      </c>
      <c r="B611" s="10" t="s">
        <v>748</v>
      </c>
      <c r="C611" s="511" t="s">
        <v>749</v>
      </c>
      <c r="D611" s="512">
        <v>218000</v>
      </c>
      <c r="E611" s="512">
        <v>0</v>
      </c>
      <c r="F611" s="512"/>
      <c r="G611" s="512">
        <v>86100</v>
      </c>
      <c r="H611" s="512" t="s">
        <v>585</v>
      </c>
      <c r="I611" s="512" t="s">
        <v>772</v>
      </c>
      <c r="J611" s="512" t="s">
        <v>585</v>
      </c>
      <c r="K611" s="512" t="b">
        <v>1</v>
      </c>
      <c r="L611" s="512">
        <v>6</v>
      </c>
      <c r="M611" s="513">
        <v>2028</v>
      </c>
      <c r="N611" s="514">
        <v>3.95E-2</v>
      </c>
      <c r="O611" s="515">
        <v>44620</v>
      </c>
      <c r="P611" s="515">
        <v>44620</v>
      </c>
      <c r="Q611" s="516">
        <v>0</v>
      </c>
    </row>
    <row r="612" spans="1:17" ht="16.5">
      <c r="A612" s="9">
        <v>2022</v>
      </c>
      <c r="B612" s="10" t="s">
        <v>748</v>
      </c>
      <c r="C612" s="511" t="s">
        <v>749</v>
      </c>
      <c r="D612" s="512">
        <v>218000</v>
      </c>
      <c r="E612" s="512">
        <v>0</v>
      </c>
      <c r="F612" s="512"/>
      <c r="G612" s="512">
        <v>86100</v>
      </c>
      <c r="H612" s="512" t="s">
        <v>585</v>
      </c>
      <c r="I612" s="512" t="s">
        <v>772</v>
      </c>
      <c r="J612" s="512" t="s">
        <v>585</v>
      </c>
      <c r="K612" s="512" t="b">
        <v>1</v>
      </c>
      <c r="L612" s="512">
        <v>8</v>
      </c>
      <c r="M612" s="513">
        <v>2030</v>
      </c>
      <c r="N612" s="514">
        <v>3.5499999999999997E-2</v>
      </c>
      <c r="O612" s="515">
        <v>44620</v>
      </c>
      <c r="P612" s="515">
        <v>44620</v>
      </c>
      <c r="Q612" s="516">
        <v>0</v>
      </c>
    </row>
    <row r="613" spans="1:17" ht="16.5">
      <c r="A613" s="9">
        <v>2022</v>
      </c>
      <c r="B613" s="10" t="s">
        <v>748</v>
      </c>
      <c r="C613" s="511" t="s">
        <v>749</v>
      </c>
      <c r="D613" s="512">
        <v>218000</v>
      </c>
      <c r="E613" s="512">
        <v>0</v>
      </c>
      <c r="F613" s="512"/>
      <c r="G613" s="512">
        <v>86100</v>
      </c>
      <c r="H613" s="512" t="s">
        <v>585</v>
      </c>
      <c r="I613" s="512" t="s">
        <v>772</v>
      </c>
      <c r="J613" s="512" t="s">
        <v>585</v>
      </c>
      <c r="K613" s="512" t="b">
        <v>1</v>
      </c>
      <c r="L613" s="512">
        <v>4</v>
      </c>
      <c r="M613" s="513">
        <v>2026</v>
      </c>
      <c r="N613" s="514">
        <v>5.7099999999999998E-2</v>
      </c>
      <c r="O613" s="515">
        <v>44620</v>
      </c>
      <c r="P613" s="515">
        <v>44620</v>
      </c>
      <c r="Q613" s="516">
        <v>0</v>
      </c>
    </row>
    <row r="614" spans="1:17" ht="16.5">
      <c r="A614" s="9">
        <v>2022</v>
      </c>
      <c r="B614" s="10" t="s">
        <v>748</v>
      </c>
      <c r="C614" s="511" t="s">
        <v>749</v>
      </c>
      <c r="D614" s="512">
        <v>218000</v>
      </c>
      <c r="E614" s="512">
        <v>0</v>
      </c>
      <c r="F614" s="512"/>
      <c r="G614" s="512">
        <v>86100</v>
      </c>
      <c r="H614" s="512" t="s">
        <v>585</v>
      </c>
      <c r="I614" s="512" t="s">
        <v>772</v>
      </c>
      <c r="J614" s="512" t="s">
        <v>585</v>
      </c>
      <c r="K614" s="512" t="b">
        <v>1</v>
      </c>
      <c r="L614" s="512">
        <v>0</v>
      </c>
      <c r="M614" s="513">
        <v>2022</v>
      </c>
      <c r="N614" s="514">
        <v>9.7999999999999997E-3</v>
      </c>
      <c r="O614" s="515">
        <v>44620</v>
      </c>
      <c r="P614" s="515">
        <v>44620</v>
      </c>
      <c r="Q614" s="516">
        <v>0</v>
      </c>
    </row>
    <row r="615" spans="1:17" ht="16.5">
      <c r="A615" s="9">
        <v>2022</v>
      </c>
      <c r="B615" s="10" t="s">
        <v>748</v>
      </c>
      <c r="C615" s="511" t="s">
        <v>749</v>
      </c>
      <c r="D615" s="512">
        <v>218000</v>
      </c>
      <c r="E615" s="512">
        <v>0</v>
      </c>
      <c r="F615" s="512"/>
      <c r="G615" s="512">
        <v>86100</v>
      </c>
      <c r="H615" s="512" t="s">
        <v>585</v>
      </c>
      <c r="I615" s="512" t="s">
        <v>772</v>
      </c>
      <c r="J615" s="512" t="s">
        <v>585</v>
      </c>
      <c r="K615" s="512" t="b">
        <v>1</v>
      </c>
      <c r="L615" s="512">
        <v>11</v>
      </c>
      <c r="M615" s="513">
        <v>2033</v>
      </c>
      <c r="N615" s="514">
        <v>3.4799999999999998E-2</v>
      </c>
      <c r="O615" s="515">
        <v>44620</v>
      </c>
      <c r="P615" s="515">
        <v>44620</v>
      </c>
      <c r="Q615" s="516">
        <v>0</v>
      </c>
    </row>
    <row r="616" spans="1:17" ht="16.5">
      <c r="A616" s="9">
        <v>2022</v>
      </c>
      <c r="B616" s="10" t="s">
        <v>748</v>
      </c>
      <c r="C616" s="511" t="s">
        <v>749</v>
      </c>
      <c r="D616" s="512">
        <v>218000</v>
      </c>
      <c r="E616" s="512">
        <v>0</v>
      </c>
      <c r="F616" s="512"/>
      <c r="G616" s="512">
        <v>86100</v>
      </c>
      <c r="H616" s="512" t="s">
        <v>585</v>
      </c>
      <c r="I616" s="512" t="s">
        <v>772</v>
      </c>
      <c r="J616" s="512" t="s">
        <v>585</v>
      </c>
      <c r="K616" s="512" t="b">
        <v>1</v>
      </c>
      <c r="L616" s="512">
        <v>1</v>
      </c>
      <c r="M616" s="513">
        <v>2023</v>
      </c>
      <c r="N616" s="514">
        <v>6.83E-2</v>
      </c>
      <c r="O616" s="515">
        <v>44620</v>
      </c>
      <c r="P616" s="515">
        <v>44620</v>
      </c>
      <c r="Q616" s="516">
        <v>0</v>
      </c>
    </row>
    <row r="617" spans="1:17" ht="16.5">
      <c r="A617" s="9">
        <v>2022</v>
      </c>
      <c r="B617" s="10" t="s">
        <v>748</v>
      </c>
      <c r="C617" s="511" t="s">
        <v>749</v>
      </c>
      <c r="D617" s="512">
        <v>218000</v>
      </c>
      <c r="E617" s="512">
        <v>0</v>
      </c>
      <c r="F617" s="512"/>
      <c r="G617" s="512">
        <v>86100</v>
      </c>
      <c r="H617" s="512" t="s">
        <v>585</v>
      </c>
      <c r="I617" s="512" t="s">
        <v>772</v>
      </c>
      <c r="J617" s="512" t="s">
        <v>585</v>
      </c>
      <c r="K617" s="512" t="b">
        <v>1</v>
      </c>
      <c r="L617" s="512">
        <v>3</v>
      </c>
      <c r="M617" s="513">
        <v>2025</v>
      </c>
      <c r="N617" s="514">
        <v>6.0699999999999997E-2</v>
      </c>
      <c r="O617" s="515">
        <v>44620</v>
      </c>
      <c r="P617" s="515">
        <v>44620</v>
      </c>
      <c r="Q617" s="516">
        <v>0</v>
      </c>
    </row>
    <row r="618" spans="1:17" ht="16.5">
      <c r="A618" s="9">
        <v>2022</v>
      </c>
      <c r="B618" s="10" t="s">
        <v>748</v>
      </c>
      <c r="C618" s="511" t="s">
        <v>749</v>
      </c>
      <c r="D618" s="512">
        <v>218000</v>
      </c>
      <c r="E618" s="512">
        <v>0</v>
      </c>
      <c r="F618" s="512"/>
      <c r="G618" s="512">
        <v>86100</v>
      </c>
      <c r="H618" s="512" t="s">
        <v>585</v>
      </c>
      <c r="I618" s="512" t="s">
        <v>772</v>
      </c>
      <c r="J618" s="512" t="s">
        <v>585</v>
      </c>
      <c r="K618" s="512" t="b">
        <v>1</v>
      </c>
      <c r="L618" s="512">
        <v>10</v>
      </c>
      <c r="M618" s="513">
        <v>2032</v>
      </c>
      <c r="N618" s="514">
        <v>3.6999999999999998E-2</v>
      </c>
      <c r="O618" s="515">
        <v>44620</v>
      </c>
      <c r="P618" s="515">
        <v>44620</v>
      </c>
      <c r="Q618" s="516">
        <v>0</v>
      </c>
    </row>
    <row r="619" spans="1:17" ht="16.5">
      <c r="A619" s="9">
        <v>2022</v>
      </c>
      <c r="B619" s="10" t="s">
        <v>748</v>
      </c>
      <c r="C619" s="511" t="s">
        <v>749</v>
      </c>
      <c r="D619" s="512">
        <v>218000</v>
      </c>
      <c r="E619" s="512">
        <v>0</v>
      </c>
      <c r="F619" s="512"/>
      <c r="G619" s="512">
        <v>107000</v>
      </c>
      <c r="H619" s="512">
        <v>10.7</v>
      </c>
      <c r="I619" s="512"/>
      <c r="J619" s="512" t="s">
        <v>253</v>
      </c>
      <c r="K619" s="512" t="b">
        <v>1</v>
      </c>
      <c r="L619" s="512">
        <v>7</v>
      </c>
      <c r="M619" s="513">
        <v>2029</v>
      </c>
      <c r="N619" s="514">
        <v>0</v>
      </c>
      <c r="O619" s="515">
        <v>44620</v>
      </c>
      <c r="P619" s="515">
        <v>44620</v>
      </c>
      <c r="Q619" s="516">
        <v>0</v>
      </c>
    </row>
    <row r="620" spans="1:17" ht="16.5">
      <c r="A620" s="9">
        <v>2022</v>
      </c>
      <c r="B620" s="10" t="s">
        <v>748</v>
      </c>
      <c r="C620" s="511" t="s">
        <v>749</v>
      </c>
      <c r="D620" s="512">
        <v>218000</v>
      </c>
      <c r="E620" s="512">
        <v>0</v>
      </c>
      <c r="F620" s="512"/>
      <c r="G620" s="512">
        <v>107000</v>
      </c>
      <c r="H620" s="512">
        <v>10.7</v>
      </c>
      <c r="I620" s="512"/>
      <c r="J620" s="512" t="s">
        <v>253</v>
      </c>
      <c r="K620" s="512" t="b">
        <v>1</v>
      </c>
      <c r="L620" s="512">
        <v>10</v>
      </c>
      <c r="M620" s="513">
        <v>2032</v>
      </c>
      <c r="N620" s="514">
        <v>0</v>
      </c>
      <c r="O620" s="515">
        <v>44620</v>
      </c>
      <c r="P620" s="515">
        <v>44620</v>
      </c>
      <c r="Q620" s="516">
        <v>0</v>
      </c>
    </row>
    <row r="621" spans="1:17" ht="16.5">
      <c r="A621" s="9">
        <v>2022</v>
      </c>
      <c r="B621" s="10" t="s">
        <v>748</v>
      </c>
      <c r="C621" s="511" t="s">
        <v>749</v>
      </c>
      <c r="D621" s="512">
        <v>218000</v>
      </c>
      <c r="E621" s="512">
        <v>0</v>
      </c>
      <c r="F621" s="512"/>
      <c r="G621" s="512">
        <v>107000</v>
      </c>
      <c r="H621" s="512">
        <v>10.7</v>
      </c>
      <c r="I621" s="512"/>
      <c r="J621" s="512" t="s">
        <v>253</v>
      </c>
      <c r="K621" s="512" t="b">
        <v>1</v>
      </c>
      <c r="L621" s="512">
        <v>9</v>
      </c>
      <c r="M621" s="513">
        <v>2031</v>
      </c>
      <c r="N621" s="514">
        <v>0</v>
      </c>
      <c r="O621" s="515">
        <v>44620</v>
      </c>
      <c r="P621" s="515">
        <v>44620</v>
      </c>
      <c r="Q621" s="516">
        <v>0</v>
      </c>
    </row>
    <row r="622" spans="1:17" ht="16.5">
      <c r="A622" s="9">
        <v>2022</v>
      </c>
      <c r="B622" s="10" t="s">
        <v>748</v>
      </c>
      <c r="C622" s="511" t="s">
        <v>749</v>
      </c>
      <c r="D622" s="512">
        <v>218000</v>
      </c>
      <c r="E622" s="512">
        <v>0</v>
      </c>
      <c r="F622" s="512"/>
      <c r="G622" s="512">
        <v>107000</v>
      </c>
      <c r="H622" s="512">
        <v>10.7</v>
      </c>
      <c r="I622" s="512"/>
      <c r="J622" s="512" t="s">
        <v>253</v>
      </c>
      <c r="K622" s="512" t="b">
        <v>1</v>
      </c>
      <c r="L622" s="512">
        <v>3</v>
      </c>
      <c r="M622" s="513">
        <v>2025</v>
      </c>
      <c r="N622" s="514">
        <v>0</v>
      </c>
      <c r="O622" s="515">
        <v>44620</v>
      </c>
      <c r="P622" s="515">
        <v>44620</v>
      </c>
      <c r="Q622" s="516">
        <v>0</v>
      </c>
    </row>
    <row r="623" spans="1:17" ht="16.5">
      <c r="A623" s="9">
        <v>2022</v>
      </c>
      <c r="B623" s="10" t="s">
        <v>748</v>
      </c>
      <c r="C623" s="511" t="s">
        <v>749</v>
      </c>
      <c r="D623" s="512">
        <v>218000</v>
      </c>
      <c r="E623" s="512">
        <v>0</v>
      </c>
      <c r="F623" s="512"/>
      <c r="G623" s="512">
        <v>107000</v>
      </c>
      <c r="H623" s="512">
        <v>10.7</v>
      </c>
      <c r="I623" s="512"/>
      <c r="J623" s="512" t="s">
        <v>253</v>
      </c>
      <c r="K623" s="512" t="b">
        <v>1</v>
      </c>
      <c r="L623" s="512">
        <v>5</v>
      </c>
      <c r="M623" s="513">
        <v>2027</v>
      </c>
      <c r="N623" s="514">
        <v>0</v>
      </c>
      <c r="O623" s="515">
        <v>44620</v>
      </c>
      <c r="P623" s="515">
        <v>44620</v>
      </c>
      <c r="Q623" s="516">
        <v>0</v>
      </c>
    </row>
    <row r="624" spans="1:17" ht="16.5">
      <c r="A624" s="9">
        <v>2022</v>
      </c>
      <c r="B624" s="10" t="s">
        <v>748</v>
      </c>
      <c r="C624" s="511" t="s">
        <v>749</v>
      </c>
      <c r="D624" s="512">
        <v>218000</v>
      </c>
      <c r="E624" s="512">
        <v>0</v>
      </c>
      <c r="F624" s="512"/>
      <c r="G624" s="512">
        <v>107000</v>
      </c>
      <c r="H624" s="512">
        <v>10.7</v>
      </c>
      <c r="I624" s="512"/>
      <c r="J624" s="512" t="s">
        <v>253</v>
      </c>
      <c r="K624" s="512" t="b">
        <v>1</v>
      </c>
      <c r="L624" s="512">
        <v>6</v>
      </c>
      <c r="M624" s="513">
        <v>2028</v>
      </c>
      <c r="N624" s="514">
        <v>0</v>
      </c>
      <c r="O624" s="515">
        <v>44620</v>
      </c>
      <c r="P624" s="515">
        <v>44620</v>
      </c>
      <c r="Q624" s="516">
        <v>0</v>
      </c>
    </row>
    <row r="625" spans="1:17" ht="16.5">
      <c r="A625" s="9">
        <v>2022</v>
      </c>
      <c r="B625" s="10" t="s">
        <v>748</v>
      </c>
      <c r="C625" s="511" t="s">
        <v>749</v>
      </c>
      <c r="D625" s="512">
        <v>218000</v>
      </c>
      <c r="E625" s="512">
        <v>0</v>
      </c>
      <c r="F625" s="512"/>
      <c r="G625" s="512">
        <v>107000</v>
      </c>
      <c r="H625" s="512">
        <v>10.7</v>
      </c>
      <c r="I625" s="512"/>
      <c r="J625" s="512" t="s">
        <v>253</v>
      </c>
      <c r="K625" s="512" t="b">
        <v>1</v>
      </c>
      <c r="L625" s="512">
        <v>0</v>
      </c>
      <c r="M625" s="513">
        <v>2022</v>
      </c>
      <c r="N625" s="514">
        <v>0</v>
      </c>
      <c r="O625" s="515">
        <v>44620</v>
      </c>
      <c r="P625" s="515">
        <v>44620</v>
      </c>
      <c r="Q625" s="516">
        <v>0</v>
      </c>
    </row>
    <row r="626" spans="1:17" ht="16.5">
      <c r="A626" s="9">
        <v>2022</v>
      </c>
      <c r="B626" s="10" t="s">
        <v>748</v>
      </c>
      <c r="C626" s="511" t="s">
        <v>749</v>
      </c>
      <c r="D626" s="512">
        <v>218000</v>
      </c>
      <c r="E626" s="512">
        <v>0</v>
      </c>
      <c r="F626" s="512"/>
      <c r="G626" s="512">
        <v>107000</v>
      </c>
      <c r="H626" s="512">
        <v>10.7</v>
      </c>
      <c r="I626" s="512"/>
      <c r="J626" s="512" t="s">
        <v>253</v>
      </c>
      <c r="K626" s="512" t="b">
        <v>1</v>
      </c>
      <c r="L626" s="512">
        <v>4</v>
      </c>
      <c r="M626" s="513">
        <v>2026</v>
      </c>
      <c r="N626" s="514">
        <v>0</v>
      </c>
      <c r="O626" s="515">
        <v>44620</v>
      </c>
      <c r="P626" s="515">
        <v>44620</v>
      </c>
      <c r="Q626" s="516">
        <v>0</v>
      </c>
    </row>
    <row r="627" spans="1:17" ht="16.5">
      <c r="A627" s="9">
        <v>2022</v>
      </c>
      <c r="B627" s="10" t="s">
        <v>748</v>
      </c>
      <c r="C627" s="511" t="s">
        <v>749</v>
      </c>
      <c r="D627" s="512">
        <v>218000</v>
      </c>
      <c r="E627" s="512">
        <v>0</v>
      </c>
      <c r="F627" s="512"/>
      <c r="G627" s="512">
        <v>107000</v>
      </c>
      <c r="H627" s="512">
        <v>10.7</v>
      </c>
      <c r="I627" s="512"/>
      <c r="J627" s="512" t="s">
        <v>253</v>
      </c>
      <c r="K627" s="512" t="b">
        <v>1</v>
      </c>
      <c r="L627" s="512">
        <v>8</v>
      </c>
      <c r="M627" s="513">
        <v>2030</v>
      </c>
      <c r="N627" s="514">
        <v>0</v>
      </c>
      <c r="O627" s="515">
        <v>44620</v>
      </c>
      <c r="P627" s="515">
        <v>44620</v>
      </c>
      <c r="Q627" s="516">
        <v>0</v>
      </c>
    </row>
    <row r="628" spans="1:17" ht="16.5">
      <c r="A628" s="9">
        <v>2022</v>
      </c>
      <c r="B628" s="10" t="s">
        <v>748</v>
      </c>
      <c r="C628" s="511" t="s">
        <v>749</v>
      </c>
      <c r="D628" s="512">
        <v>218000</v>
      </c>
      <c r="E628" s="512">
        <v>0</v>
      </c>
      <c r="F628" s="512"/>
      <c r="G628" s="512">
        <v>107000</v>
      </c>
      <c r="H628" s="512">
        <v>10.7</v>
      </c>
      <c r="I628" s="512"/>
      <c r="J628" s="512" t="s">
        <v>253</v>
      </c>
      <c r="K628" s="512" t="b">
        <v>1</v>
      </c>
      <c r="L628" s="512">
        <v>11</v>
      </c>
      <c r="M628" s="513">
        <v>2033</v>
      </c>
      <c r="N628" s="514">
        <v>0</v>
      </c>
      <c r="O628" s="515">
        <v>44620</v>
      </c>
      <c r="P628" s="515">
        <v>44620</v>
      </c>
      <c r="Q628" s="516">
        <v>0</v>
      </c>
    </row>
    <row r="629" spans="1:17" ht="16.5">
      <c r="A629" s="9">
        <v>2022</v>
      </c>
      <c r="B629" s="10" t="s">
        <v>748</v>
      </c>
      <c r="C629" s="511" t="s">
        <v>749</v>
      </c>
      <c r="D629" s="512">
        <v>218000</v>
      </c>
      <c r="E629" s="512">
        <v>0</v>
      </c>
      <c r="F629" s="512"/>
      <c r="G629" s="512">
        <v>107000</v>
      </c>
      <c r="H629" s="512">
        <v>10.7</v>
      </c>
      <c r="I629" s="512"/>
      <c r="J629" s="512" t="s">
        <v>253</v>
      </c>
      <c r="K629" s="512" t="b">
        <v>1</v>
      </c>
      <c r="L629" s="512">
        <v>2</v>
      </c>
      <c r="M629" s="513">
        <v>2024</v>
      </c>
      <c r="N629" s="514">
        <v>0</v>
      </c>
      <c r="O629" s="515">
        <v>44620</v>
      </c>
      <c r="P629" s="515">
        <v>44620</v>
      </c>
      <c r="Q629" s="516">
        <v>0</v>
      </c>
    </row>
    <row r="630" spans="1:17" ht="16.5">
      <c r="A630" s="9">
        <v>2022</v>
      </c>
      <c r="B630" s="10" t="s">
        <v>748</v>
      </c>
      <c r="C630" s="511" t="s">
        <v>749</v>
      </c>
      <c r="D630" s="512">
        <v>218000</v>
      </c>
      <c r="E630" s="512">
        <v>0</v>
      </c>
      <c r="F630" s="512"/>
      <c r="G630" s="512">
        <v>107000</v>
      </c>
      <c r="H630" s="512">
        <v>10.7</v>
      </c>
      <c r="I630" s="512"/>
      <c r="J630" s="512" t="s">
        <v>253</v>
      </c>
      <c r="K630" s="512" t="b">
        <v>1</v>
      </c>
      <c r="L630" s="512">
        <v>1</v>
      </c>
      <c r="M630" s="513">
        <v>2023</v>
      </c>
      <c r="N630" s="514">
        <v>0</v>
      </c>
      <c r="O630" s="515">
        <v>44620</v>
      </c>
      <c r="P630" s="515">
        <v>44620</v>
      </c>
      <c r="Q630" s="516">
        <v>0</v>
      </c>
    </row>
    <row r="631" spans="1:17" ht="16.5">
      <c r="A631" s="9">
        <v>2022</v>
      </c>
      <c r="B631" s="10" t="s">
        <v>748</v>
      </c>
      <c r="C631" s="511" t="s">
        <v>749</v>
      </c>
      <c r="D631" s="512">
        <v>218000</v>
      </c>
      <c r="E631" s="512">
        <v>0</v>
      </c>
      <c r="F631" s="512"/>
      <c r="G631" s="512">
        <v>50000</v>
      </c>
      <c r="H631" s="512">
        <v>5</v>
      </c>
      <c r="I631" s="512" t="s">
        <v>773</v>
      </c>
      <c r="J631" s="512" t="s">
        <v>47</v>
      </c>
      <c r="K631" s="512" t="b">
        <v>0</v>
      </c>
      <c r="L631" s="512">
        <v>5</v>
      </c>
      <c r="M631" s="513">
        <v>2027</v>
      </c>
      <c r="N631" s="514">
        <v>2000000</v>
      </c>
      <c r="O631" s="515">
        <v>44620</v>
      </c>
      <c r="P631" s="515">
        <v>44620</v>
      </c>
      <c r="Q631" s="516">
        <v>0</v>
      </c>
    </row>
    <row r="632" spans="1:17" ht="16.5">
      <c r="A632" s="9">
        <v>2022</v>
      </c>
      <c r="B632" s="10" t="s">
        <v>748</v>
      </c>
      <c r="C632" s="511" t="s">
        <v>749</v>
      </c>
      <c r="D632" s="512">
        <v>218000</v>
      </c>
      <c r="E632" s="512">
        <v>0</v>
      </c>
      <c r="F632" s="512"/>
      <c r="G632" s="512">
        <v>50000</v>
      </c>
      <c r="H632" s="512">
        <v>5</v>
      </c>
      <c r="I632" s="512" t="s">
        <v>773</v>
      </c>
      <c r="J632" s="512" t="s">
        <v>47</v>
      </c>
      <c r="K632" s="512" t="b">
        <v>0</v>
      </c>
      <c r="L632" s="512">
        <v>3</v>
      </c>
      <c r="M632" s="513">
        <v>2025</v>
      </c>
      <c r="N632" s="514">
        <v>2000000</v>
      </c>
      <c r="O632" s="515">
        <v>44620</v>
      </c>
      <c r="P632" s="515">
        <v>44620</v>
      </c>
      <c r="Q632" s="516">
        <v>0</v>
      </c>
    </row>
    <row r="633" spans="1:17" ht="16.5">
      <c r="A633" s="9">
        <v>2022</v>
      </c>
      <c r="B633" s="10" t="s">
        <v>748</v>
      </c>
      <c r="C633" s="511" t="s">
        <v>749</v>
      </c>
      <c r="D633" s="512">
        <v>218000</v>
      </c>
      <c r="E633" s="512">
        <v>0</v>
      </c>
      <c r="F633" s="512"/>
      <c r="G633" s="512">
        <v>50000</v>
      </c>
      <c r="H633" s="512">
        <v>5</v>
      </c>
      <c r="I633" s="512" t="s">
        <v>773</v>
      </c>
      <c r="J633" s="512" t="s">
        <v>47</v>
      </c>
      <c r="K633" s="512" t="b">
        <v>0</v>
      </c>
      <c r="L633" s="512">
        <v>7</v>
      </c>
      <c r="M633" s="513">
        <v>2029</v>
      </c>
      <c r="N633" s="514">
        <v>1500000</v>
      </c>
      <c r="O633" s="515">
        <v>44620</v>
      </c>
      <c r="P633" s="515">
        <v>44620</v>
      </c>
      <c r="Q633" s="516">
        <v>0</v>
      </c>
    </row>
    <row r="634" spans="1:17" ht="16.5">
      <c r="A634" s="9">
        <v>2022</v>
      </c>
      <c r="B634" s="10" t="s">
        <v>748</v>
      </c>
      <c r="C634" s="511" t="s">
        <v>749</v>
      </c>
      <c r="D634" s="512">
        <v>218000</v>
      </c>
      <c r="E634" s="512">
        <v>0</v>
      </c>
      <c r="F634" s="512"/>
      <c r="G634" s="512">
        <v>50000</v>
      </c>
      <c r="H634" s="512">
        <v>5</v>
      </c>
      <c r="I634" s="512" t="s">
        <v>773</v>
      </c>
      <c r="J634" s="512" t="s">
        <v>47</v>
      </c>
      <c r="K634" s="512" t="b">
        <v>0</v>
      </c>
      <c r="L634" s="512">
        <v>2</v>
      </c>
      <c r="M634" s="513">
        <v>2024</v>
      </c>
      <c r="N634" s="514">
        <v>1915000</v>
      </c>
      <c r="O634" s="515">
        <v>44620</v>
      </c>
      <c r="P634" s="515">
        <v>44620</v>
      </c>
      <c r="Q634" s="516">
        <v>0</v>
      </c>
    </row>
    <row r="635" spans="1:17" ht="16.5">
      <c r="A635" s="9">
        <v>2022</v>
      </c>
      <c r="B635" s="10" t="s">
        <v>748</v>
      </c>
      <c r="C635" s="511" t="s">
        <v>749</v>
      </c>
      <c r="D635" s="512">
        <v>218000</v>
      </c>
      <c r="E635" s="512">
        <v>0</v>
      </c>
      <c r="F635" s="512"/>
      <c r="G635" s="512">
        <v>50000</v>
      </c>
      <c r="H635" s="512">
        <v>5</v>
      </c>
      <c r="I635" s="512" t="s">
        <v>773</v>
      </c>
      <c r="J635" s="512" t="s">
        <v>47</v>
      </c>
      <c r="K635" s="512" t="b">
        <v>0</v>
      </c>
      <c r="L635" s="512">
        <v>1</v>
      </c>
      <c r="M635" s="513">
        <v>2023</v>
      </c>
      <c r="N635" s="514">
        <v>2000000</v>
      </c>
      <c r="O635" s="515">
        <v>44620</v>
      </c>
      <c r="P635" s="515">
        <v>44620</v>
      </c>
      <c r="Q635" s="516">
        <v>0</v>
      </c>
    </row>
    <row r="636" spans="1:17" ht="16.5">
      <c r="A636" s="9">
        <v>2022</v>
      </c>
      <c r="B636" s="10" t="s">
        <v>748</v>
      </c>
      <c r="C636" s="511" t="s">
        <v>749</v>
      </c>
      <c r="D636" s="512">
        <v>218000</v>
      </c>
      <c r="E636" s="512">
        <v>0</v>
      </c>
      <c r="F636" s="512"/>
      <c r="G636" s="512">
        <v>50000</v>
      </c>
      <c r="H636" s="512">
        <v>5</v>
      </c>
      <c r="I636" s="512" t="s">
        <v>773</v>
      </c>
      <c r="J636" s="512" t="s">
        <v>47</v>
      </c>
      <c r="K636" s="512" t="b">
        <v>0</v>
      </c>
      <c r="L636" s="512">
        <v>10</v>
      </c>
      <c r="M636" s="513">
        <v>2032</v>
      </c>
      <c r="N636" s="514">
        <v>1750000</v>
      </c>
      <c r="O636" s="515">
        <v>44620</v>
      </c>
      <c r="P636" s="515">
        <v>44620</v>
      </c>
      <c r="Q636" s="516">
        <v>0</v>
      </c>
    </row>
    <row r="637" spans="1:17" ht="16.5">
      <c r="A637" s="9">
        <v>2022</v>
      </c>
      <c r="B637" s="10" t="s">
        <v>748</v>
      </c>
      <c r="C637" s="511" t="s">
        <v>749</v>
      </c>
      <c r="D637" s="512">
        <v>218000</v>
      </c>
      <c r="E637" s="512">
        <v>0</v>
      </c>
      <c r="F637" s="512"/>
      <c r="G637" s="512">
        <v>50000</v>
      </c>
      <c r="H637" s="512">
        <v>5</v>
      </c>
      <c r="I637" s="512" t="s">
        <v>773</v>
      </c>
      <c r="J637" s="512" t="s">
        <v>47</v>
      </c>
      <c r="K637" s="512" t="b">
        <v>0</v>
      </c>
      <c r="L637" s="512">
        <v>6</v>
      </c>
      <c r="M637" s="513">
        <v>2028</v>
      </c>
      <c r="N637" s="514">
        <v>1500000</v>
      </c>
      <c r="O637" s="515">
        <v>44620</v>
      </c>
      <c r="P637" s="515">
        <v>44620</v>
      </c>
      <c r="Q637" s="516">
        <v>0</v>
      </c>
    </row>
    <row r="638" spans="1:17" ht="16.5">
      <c r="A638" s="9">
        <v>2022</v>
      </c>
      <c r="B638" s="10" t="s">
        <v>748</v>
      </c>
      <c r="C638" s="511" t="s">
        <v>749</v>
      </c>
      <c r="D638" s="512">
        <v>218000</v>
      </c>
      <c r="E638" s="512">
        <v>0</v>
      </c>
      <c r="F638" s="512"/>
      <c r="G638" s="512">
        <v>50000</v>
      </c>
      <c r="H638" s="512">
        <v>5</v>
      </c>
      <c r="I638" s="512" t="s">
        <v>773</v>
      </c>
      <c r="J638" s="512" t="s">
        <v>47</v>
      </c>
      <c r="K638" s="512" t="b">
        <v>0</v>
      </c>
      <c r="L638" s="512">
        <v>11</v>
      </c>
      <c r="M638" s="513">
        <v>2033</v>
      </c>
      <c r="N638" s="514">
        <v>1750000</v>
      </c>
      <c r="O638" s="515">
        <v>44620</v>
      </c>
      <c r="P638" s="515">
        <v>44620</v>
      </c>
      <c r="Q638" s="516">
        <v>0</v>
      </c>
    </row>
    <row r="639" spans="1:17" ht="16.5">
      <c r="A639" s="9">
        <v>2022</v>
      </c>
      <c r="B639" s="10" t="s">
        <v>748</v>
      </c>
      <c r="C639" s="511" t="s">
        <v>749</v>
      </c>
      <c r="D639" s="512">
        <v>218000</v>
      </c>
      <c r="E639" s="512">
        <v>0</v>
      </c>
      <c r="F639" s="512"/>
      <c r="G639" s="512">
        <v>50000</v>
      </c>
      <c r="H639" s="512">
        <v>5</v>
      </c>
      <c r="I639" s="512" t="s">
        <v>773</v>
      </c>
      <c r="J639" s="512" t="s">
        <v>47</v>
      </c>
      <c r="K639" s="512" t="b">
        <v>0</v>
      </c>
      <c r="L639" s="512">
        <v>8</v>
      </c>
      <c r="M639" s="513">
        <v>2030</v>
      </c>
      <c r="N639" s="514">
        <v>1500000</v>
      </c>
      <c r="O639" s="515">
        <v>44620</v>
      </c>
      <c r="P639" s="515">
        <v>44620</v>
      </c>
      <c r="Q639" s="516">
        <v>0</v>
      </c>
    </row>
    <row r="640" spans="1:17" ht="16.5">
      <c r="A640" s="9">
        <v>2022</v>
      </c>
      <c r="B640" s="10" t="s">
        <v>748</v>
      </c>
      <c r="C640" s="511" t="s">
        <v>749</v>
      </c>
      <c r="D640" s="512">
        <v>218000</v>
      </c>
      <c r="E640" s="512">
        <v>0</v>
      </c>
      <c r="F640" s="512"/>
      <c r="G640" s="512">
        <v>50000</v>
      </c>
      <c r="H640" s="512">
        <v>5</v>
      </c>
      <c r="I640" s="512" t="s">
        <v>773</v>
      </c>
      <c r="J640" s="512" t="s">
        <v>47</v>
      </c>
      <c r="K640" s="512" t="b">
        <v>0</v>
      </c>
      <c r="L640" s="512">
        <v>9</v>
      </c>
      <c r="M640" s="513">
        <v>2031</v>
      </c>
      <c r="N640" s="514">
        <v>1500000</v>
      </c>
      <c r="O640" s="515">
        <v>44620</v>
      </c>
      <c r="P640" s="515">
        <v>44620</v>
      </c>
      <c r="Q640" s="516">
        <v>0</v>
      </c>
    </row>
    <row r="641" spans="1:17" ht="16.5">
      <c r="A641" s="9">
        <v>2022</v>
      </c>
      <c r="B641" s="10" t="s">
        <v>748</v>
      </c>
      <c r="C641" s="511" t="s">
        <v>749</v>
      </c>
      <c r="D641" s="512">
        <v>218000</v>
      </c>
      <c r="E641" s="512">
        <v>0</v>
      </c>
      <c r="F641" s="512"/>
      <c r="G641" s="512">
        <v>50000</v>
      </c>
      <c r="H641" s="512">
        <v>5</v>
      </c>
      <c r="I641" s="512" t="s">
        <v>773</v>
      </c>
      <c r="J641" s="512" t="s">
        <v>47</v>
      </c>
      <c r="K641" s="512" t="b">
        <v>0</v>
      </c>
      <c r="L641" s="512">
        <v>4</v>
      </c>
      <c r="M641" s="513">
        <v>2026</v>
      </c>
      <c r="N641" s="514">
        <v>2000000</v>
      </c>
      <c r="O641" s="515">
        <v>44620</v>
      </c>
      <c r="P641" s="515">
        <v>44620</v>
      </c>
      <c r="Q641" s="516">
        <v>0</v>
      </c>
    </row>
    <row r="642" spans="1:17" ht="16.5">
      <c r="A642" s="9">
        <v>2022</v>
      </c>
      <c r="B642" s="10" t="s">
        <v>748</v>
      </c>
      <c r="C642" s="511" t="s">
        <v>749</v>
      </c>
      <c r="D642" s="512">
        <v>218000</v>
      </c>
      <c r="E642" s="512">
        <v>0</v>
      </c>
      <c r="F642" s="512"/>
      <c r="G642" s="512">
        <v>50000</v>
      </c>
      <c r="H642" s="512">
        <v>5</v>
      </c>
      <c r="I642" s="512" t="s">
        <v>773</v>
      </c>
      <c r="J642" s="512" t="s">
        <v>47</v>
      </c>
      <c r="K642" s="512" t="b">
        <v>0</v>
      </c>
      <c r="L642" s="512">
        <v>0</v>
      </c>
      <c r="M642" s="513">
        <v>2022</v>
      </c>
      <c r="N642" s="514">
        <v>0</v>
      </c>
      <c r="O642" s="515">
        <v>44620</v>
      </c>
      <c r="P642" s="515">
        <v>44620</v>
      </c>
      <c r="Q642" s="516">
        <v>0</v>
      </c>
    </row>
    <row r="643" spans="1:17" ht="16.5">
      <c r="A643" s="9">
        <v>2022</v>
      </c>
      <c r="B643" s="10" t="s">
        <v>748</v>
      </c>
      <c r="C643" s="511" t="s">
        <v>749</v>
      </c>
      <c r="D643" s="512">
        <v>218000</v>
      </c>
      <c r="E643" s="512">
        <v>0</v>
      </c>
      <c r="F643" s="512"/>
      <c r="G643" s="512">
        <v>43000</v>
      </c>
      <c r="H643" s="512">
        <v>4.3</v>
      </c>
      <c r="I643" s="512"/>
      <c r="J643" s="512" t="s">
        <v>207</v>
      </c>
      <c r="K643" s="512" t="b">
        <v>0</v>
      </c>
      <c r="L643" s="512">
        <v>5</v>
      </c>
      <c r="M643" s="513">
        <v>2027</v>
      </c>
      <c r="N643" s="514">
        <v>0</v>
      </c>
      <c r="O643" s="515">
        <v>44620</v>
      </c>
      <c r="P643" s="515">
        <v>44620</v>
      </c>
      <c r="Q643" s="516">
        <v>0</v>
      </c>
    </row>
    <row r="644" spans="1:17" ht="16.5">
      <c r="A644" s="9">
        <v>2022</v>
      </c>
      <c r="B644" s="10" t="s">
        <v>748</v>
      </c>
      <c r="C644" s="511" t="s">
        <v>749</v>
      </c>
      <c r="D644" s="512">
        <v>218000</v>
      </c>
      <c r="E644" s="512">
        <v>0</v>
      </c>
      <c r="F644" s="512"/>
      <c r="G644" s="512">
        <v>43000</v>
      </c>
      <c r="H644" s="512">
        <v>4.3</v>
      </c>
      <c r="I644" s="512"/>
      <c r="J644" s="512" t="s">
        <v>207</v>
      </c>
      <c r="K644" s="512" t="b">
        <v>0</v>
      </c>
      <c r="L644" s="512">
        <v>7</v>
      </c>
      <c r="M644" s="513">
        <v>2029</v>
      </c>
      <c r="N644" s="514">
        <v>0</v>
      </c>
      <c r="O644" s="515">
        <v>44620</v>
      </c>
      <c r="P644" s="515">
        <v>44620</v>
      </c>
      <c r="Q644" s="516">
        <v>0</v>
      </c>
    </row>
    <row r="645" spans="1:17" ht="16.5">
      <c r="A645" s="9">
        <v>2022</v>
      </c>
      <c r="B645" s="10" t="s">
        <v>748</v>
      </c>
      <c r="C645" s="511" t="s">
        <v>749</v>
      </c>
      <c r="D645" s="512">
        <v>218000</v>
      </c>
      <c r="E645" s="512">
        <v>0</v>
      </c>
      <c r="F645" s="512"/>
      <c r="G645" s="512">
        <v>43000</v>
      </c>
      <c r="H645" s="512">
        <v>4.3</v>
      </c>
      <c r="I645" s="512"/>
      <c r="J645" s="512" t="s">
        <v>207</v>
      </c>
      <c r="K645" s="512" t="b">
        <v>0</v>
      </c>
      <c r="L645" s="512">
        <v>4</v>
      </c>
      <c r="M645" s="513">
        <v>2026</v>
      </c>
      <c r="N645" s="514">
        <v>0</v>
      </c>
      <c r="O645" s="515">
        <v>44620</v>
      </c>
      <c r="P645" s="515">
        <v>44620</v>
      </c>
      <c r="Q645" s="516">
        <v>0</v>
      </c>
    </row>
    <row r="646" spans="1:17" ht="16.5">
      <c r="A646" s="9">
        <v>2022</v>
      </c>
      <c r="B646" s="10" t="s">
        <v>748</v>
      </c>
      <c r="C646" s="511" t="s">
        <v>749</v>
      </c>
      <c r="D646" s="512">
        <v>218000</v>
      </c>
      <c r="E646" s="512">
        <v>0</v>
      </c>
      <c r="F646" s="512"/>
      <c r="G646" s="512">
        <v>43000</v>
      </c>
      <c r="H646" s="512">
        <v>4.3</v>
      </c>
      <c r="I646" s="512"/>
      <c r="J646" s="512" t="s">
        <v>207</v>
      </c>
      <c r="K646" s="512" t="b">
        <v>0</v>
      </c>
      <c r="L646" s="512">
        <v>11</v>
      </c>
      <c r="M646" s="513">
        <v>2033</v>
      </c>
      <c r="N646" s="514">
        <v>0</v>
      </c>
      <c r="O646" s="515">
        <v>44620</v>
      </c>
      <c r="P646" s="515">
        <v>44620</v>
      </c>
      <c r="Q646" s="516">
        <v>0</v>
      </c>
    </row>
    <row r="647" spans="1:17" ht="16.5">
      <c r="A647" s="9">
        <v>2022</v>
      </c>
      <c r="B647" s="10" t="s">
        <v>748</v>
      </c>
      <c r="C647" s="511" t="s">
        <v>749</v>
      </c>
      <c r="D647" s="512">
        <v>218000</v>
      </c>
      <c r="E647" s="512">
        <v>0</v>
      </c>
      <c r="F647" s="512"/>
      <c r="G647" s="512">
        <v>43000</v>
      </c>
      <c r="H647" s="512">
        <v>4.3</v>
      </c>
      <c r="I647" s="512"/>
      <c r="J647" s="512" t="s">
        <v>207</v>
      </c>
      <c r="K647" s="512" t="b">
        <v>0</v>
      </c>
      <c r="L647" s="512">
        <v>1</v>
      </c>
      <c r="M647" s="513">
        <v>2023</v>
      </c>
      <c r="N647" s="514">
        <v>0</v>
      </c>
      <c r="O647" s="515">
        <v>44620</v>
      </c>
      <c r="P647" s="515">
        <v>44620</v>
      </c>
      <c r="Q647" s="516">
        <v>0</v>
      </c>
    </row>
    <row r="648" spans="1:17" ht="16.5">
      <c r="A648" s="9">
        <v>2022</v>
      </c>
      <c r="B648" s="10" t="s">
        <v>748</v>
      </c>
      <c r="C648" s="511" t="s">
        <v>749</v>
      </c>
      <c r="D648" s="512">
        <v>218000</v>
      </c>
      <c r="E648" s="512">
        <v>0</v>
      </c>
      <c r="F648" s="512"/>
      <c r="G648" s="512">
        <v>43000</v>
      </c>
      <c r="H648" s="512">
        <v>4.3</v>
      </c>
      <c r="I648" s="512"/>
      <c r="J648" s="512" t="s">
        <v>207</v>
      </c>
      <c r="K648" s="512" t="b">
        <v>0</v>
      </c>
      <c r="L648" s="512">
        <v>8</v>
      </c>
      <c r="M648" s="513">
        <v>2030</v>
      </c>
      <c r="N648" s="514">
        <v>0</v>
      </c>
      <c r="O648" s="515">
        <v>44620</v>
      </c>
      <c r="P648" s="515">
        <v>44620</v>
      </c>
      <c r="Q648" s="516">
        <v>0</v>
      </c>
    </row>
    <row r="649" spans="1:17" ht="16.5">
      <c r="A649" s="9">
        <v>2022</v>
      </c>
      <c r="B649" s="10" t="s">
        <v>748</v>
      </c>
      <c r="C649" s="511" t="s">
        <v>749</v>
      </c>
      <c r="D649" s="512">
        <v>218000</v>
      </c>
      <c r="E649" s="512">
        <v>0</v>
      </c>
      <c r="F649" s="512"/>
      <c r="G649" s="512">
        <v>43000</v>
      </c>
      <c r="H649" s="512">
        <v>4.3</v>
      </c>
      <c r="I649" s="512"/>
      <c r="J649" s="512" t="s">
        <v>207</v>
      </c>
      <c r="K649" s="512" t="b">
        <v>0</v>
      </c>
      <c r="L649" s="512">
        <v>10</v>
      </c>
      <c r="M649" s="513">
        <v>2032</v>
      </c>
      <c r="N649" s="514">
        <v>0</v>
      </c>
      <c r="O649" s="515">
        <v>44620</v>
      </c>
      <c r="P649" s="515">
        <v>44620</v>
      </c>
      <c r="Q649" s="516">
        <v>0</v>
      </c>
    </row>
    <row r="650" spans="1:17" ht="16.5">
      <c r="A650" s="9">
        <v>2022</v>
      </c>
      <c r="B650" s="10" t="s">
        <v>748</v>
      </c>
      <c r="C650" s="511" t="s">
        <v>749</v>
      </c>
      <c r="D650" s="512">
        <v>218000</v>
      </c>
      <c r="E650" s="512">
        <v>0</v>
      </c>
      <c r="F650" s="512"/>
      <c r="G650" s="512">
        <v>43000</v>
      </c>
      <c r="H650" s="512">
        <v>4.3</v>
      </c>
      <c r="I650" s="512"/>
      <c r="J650" s="512" t="s">
        <v>207</v>
      </c>
      <c r="K650" s="512" t="b">
        <v>0</v>
      </c>
      <c r="L650" s="512">
        <v>2</v>
      </c>
      <c r="M650" s="513">
        <v>2024</v>
      </c>
      <c r="N650" s="514">
        <v>0</v>
      </c>
      <c r="O650" s="515">
        <v>44620</v>
      </c>
      <c r="P650" s="515">
        <v>44620</v>
      </c>
      <c r="Q650" s="516">
        <v>0</v>
      </c>
    </row>
    <row r="651" spans="1:17" ht="16.5">
      <c r="A651" s="9">
        <v>2022</v>
      </c>
      <c r="B651" s="10" t="s">
        <v>748</v>
      </c>
      <c r="C651" s="511" t="s">
        <v>749</v>
      </c>
      <c r="D651" s="512">
        <v>218000</v>
      </c>
      <c r="E651" s="512">
        <v>0</v>
      </c>
      <c r="F651" s="512"/>
      <c r="G651" s="512">
        <v>43000</v>
      </c>
      <c r="H651" s="512">
        <v>4.3</v>
      </c>
      <c r="I651" s="512"/>
      <c r="J651" s="512" t="s">
        <v>207</v>
      </c>
      <c r="K651" s="512" t="b">
        <v>0</v>
      </c>
      <c r="L651" s="512">
        <v>0</v>
      </c>
      <c r="M651" s="513">
        <v>2022</v>
      </c>
      <c r="N651" s="514">
        <v>7719990</v>
      </c>
      <c r="O651" s="515">
        <v>44620</v>
      </c>
      <c r="P651" s="515">
        <v>44620</v>
      </c>
      <c r="Q651" s="516">
        <v>0</v>
      </c>
    </row>
    <row r="652" spans="1:17" ht="16.5">
      <c r="A652" s="9">
        <v>2022</v>
      </c>
      <c r="B652" s="10" t="s">
        <v>748</v>
      </c>
      <c r="C652" s="511" t="s">
        <v>749</v>
      </c>
      <c r="D652" s="512">
        <v>218000</v>
      </c>
      <c r="E652" s="512">
        <v>0</v>
      </c>
      <c r="F652" s="512"/>
      <c r="G652" s="512">
        <v>43000</v>
      </c>
      <c r="H652" s="512">
        <v>4.3</v>
      </c>
      <c r="I652" s="512"/>
      <c r="J652" s="512" t="s">
        <v>207</v>
      </c>
      <c r="K652" s="512" t="b">
        <v>0</v>
      </c>
      <c r="L652" s="512">
        <v>6</v>
      </c>
      <c r="M652" s="513">
        <v>2028</v>
      </c>
      <c r="N652" s="514">
        <v>0</v>
      </c>
      <c r="O652" s="515">
        <v>44620</v>
      </c>
      <c r="P652" s="515">
        <v>44620</v>
      </c>
      <c r="Q652" s="516">
        <v>0</v>
      </c>
    </row>
    <row r="653" spans="1:17" ht="16.5">
      <c r="A653" s="9">
        <v>2022</v>
      </c>
      <c r="B653" s="10" t="s">
        <v>748</v>
      </c>
      <c r="C653" s="511" t="s">
        <v>749</v>
      </c>
      <c r="D653" s="512">
        <v>218000</v>
      </c>
      <c r="E653" s="512">
        <v>0</v>
      </c>
      <c r="F653" s="512"/>
      <c r="G653" s="512">
        <v>43000</v>
      </c>
      <c r="H653" s="512">
        <v>4.3</v>
      </c>
      <c r="I653" s="512"/>
      <c r="J653" s="512" t="s">
        <v>207</v>
      </c>
      <c r="K653" s="512" t="b">
        <v>0</v>
      </c>
      <c r="L653" s="512">
        <v>3</v>
      </c>
      <c r="M653" s="513">
        <v>2025</v>
      </c>
      <c r="N653" s="514">
        <v>0</v>
      </c>
      <c r="O653" s="515">
        <v>44620</v>
      </c>
      <c r="P653" s="515">
        <v>44620</v>
      </c>
      <c r="Q653" s="516">
        <v>0</v>
      </c>
    </row>
    <row r="654" spans="1:17" ht="16.5">
      <c r="A654" s="9">
        <v>2022</v>
      </c>
      <c r="B654" s="10" t="s">
        <v>748</v>
      </c>
      <c r="C654" s="511" t="s">
        <v>749</v>
      </c>
      <c r="D654" s="512">
        <v>218000</v>
      </c>
      <c r="E654" s="512">
        <v>0</v>
      </c>
      <c r="F654" s="512"/>
      <c r="G654" s="512">
        <v>43000</v>
      </c>
      <c r="H654" s="512">
        <v>4.3</v>
      </c>
      <c r="I654" s="512"/>
      <c r="J654" s="512" t="s">
        <v>207</v>
      </c>
      <c r="K654" s="512" t="b">
        <v>0</v>
      </c>
      <c r="L654" s="512">
        <v>9</v>
      </c>
      <c r="M654" s="513">
        <v>2031</v>
      </c>
      <c r="N654" s="514">
        <v>0</v>
      </c>
      <c r="O654" s="515">
        <v>44620</v>
      </c>
      <c r="P654" s="515">
        <v>44620</v>
      </c>
      <c r="Q654" s="516">
        <v>0</v>
      </c>
    </row>
    <row r="655" spans="1:17" ht="16.5">
      <c r="A655" s="9">
        <v>2022</v>
      </c>
      <c r="B655" s="10" t="s">
        <v>748</v>
      </c>
      <c r="C655" s="511" t="s">
        <v>749</v>
      </c>
      <c r="D655" s="512">
        <v>218000</v>
      </c>
      <c r="E655" s="512">
        <v>0</v>
      </c>
      <c r="F655" s="512"/>
      <c r="G655" s="512">
        <v>104000</v>
      </c>
      <c r="H655" s="512">
        <v>10.4</v>
      </c>
      <c r="I655" s="512"/>
      <c r="J655" s="512" t="s">
        <v>250</v>
      </c>
      <c r="K655" s="512" t="b">
        <v>1</v>
      </c>
      <c r="L655" s="512">
        <v>7</v>
      </c>
      <c r="M655" s="513">
        <v>2029</v>
      </c>
      <c r="N655" s="514">
        <v>0</v>
      </c>
      <c r="O655" s="515">
        <v>44620</v>
      </c>
      <c r="P655" s="515">
        <v>44620</v>
      </c>
      <c r="Q655" s="516">
        <v>0</v>
      </c>
    </row>
    <row r="656" spans="1:17" ht="16.5">
      <c r="A656" s="9">
        <v>2022</v>
      </c>
      <c r="B656" s="10" t="s">
        <v>748</v>
      </c>
      <c r="C656" s="511" t="s">
        <v>749</v>
      </c>
      <c r="D656" s="512">
        <v>218000</v>
      </c>
      <c r="E656" s="512">
        <v>0</v>
      </c>
      <c r="F656" s="512"/>
      <c r="G656" s="512">
        <v>104000</v>
      </c>
      <c r="H656" s="512">
        <v>10.4</v>
      </c>
      <c r="I656" s="512"/>
      <c r="J656" s="512" t="s">
        <v>250</v>
      </c>
      <c r="K656" s="512" t="b">
        <v>1</v>
      </c>
      <c r="L656" s="512">
        <v>10</v>
      </c>
      <c r="M656" s="513">
        <v>2032</v>
      </c>
      <c r="N656" s="514">
        <v>0</v>
      </c>
      <c r="O656" s="515">
        <v>44620</v>
      </c>
      <c r="P656" s="515">
        <v>44620</v>
      </c>
      <c r="Q656" s="516">
        <v>0</v>
      </c>
    </row>
    <row r="657" spans="1:17" ht="16.5">
      <c r="A657" s="9">
        <v>2022</v>
      </c>
      <c r="B657" s="10" t="s">
        <v>748</v>
      </c>
      <c r="C657" s="511" t="s">
        <v>749</v>
      </c>
      <c r="D657" s="512">
        <v>218000</v>
      </c>
      <c r="E657" s="512">
        <v>0</v>
      </c>
      <c r="F657" s="512"/>
      <c r="G657" s="512">
        <v>104000</v>
      </c>
      <c r="H657" s="512">
        <v>10.4</v>
      </c>
      <c r="I657" s="512"/>
      <c r="J657" s="512" t="s">
        <v>250</v>
      </c>
      <c r="K657" s="512" t="b">
        <v>1</v>
      </c>
      <c r="L657" s="512">
        <v>2</v>
      </c>
      <c r="M657" s="513">
        <v>2024</v>
      </c>
      <c r="N657" s="514">
        <v>0</v>
      </c>
      <c r="O657" s="515">
        <v>44620</v>
      </c>
      <c r="P657" s="515">
        <v>44620</v>
      </c>
      <c r="Q657" s="516">
        <v>0</v>
      </c>
    </row>
    <row r="658" spans="1:17" ht="16.5">
      <c r="A658" s="9">
        <v>2022</v>
      </c>
      <c r="B658" s="10" t="s">
        <v>748</v>
      </c>
      <c r="C658" s="511" t="s">
        <v>749</v>
      </c>
      <c r="D658" s="512">
        <v>218000</v>
      </c>
      <c r="E658" s="512">
        <v>0</v>
      </c>
      <c r="F658" s="512"/>
      <c r="G658" s="512">
        <v>104000</v>
      </c>
      <c r="H658" s="512">
        <v>10.4</v>
      </c>
      <c r="I658" s="512"/>
      <c r="J658" s="512" t="s">
        <v>250</v>
      </c>
      <c r="K658" s="512" t="b">
        <v>1</v>
      </c>
      <c r="L658" s="512">
        <v>4</v>
      </c>
      <c r="M658" s="513">
        <v>2026</v>
      </c>
      <c r="N658" s="514">
        <v>0</v>
      </c>
      <c r="O658" s="515">
        <v>44620</v>
      </c>
      <c r="P658" s="515">
        <v>44620</v>
      </c>
      <c r="Q658" s="516">
        <v>0</v>
      </c>
    </row>
    <row r="659" spans="1:17" ht="16.5">
      <c r="A659" s="9">
        <v>2022</v>
      </c>
      <c r="B659" s="10" t="s">
        <v>748</v>
      </c>
      <c r="C659" s="511" t="s">
        <v>749</v>
      </c>
      <c r="D659" s="512">
        <v>218000</v>
      </c>
      <c r="E659" s="512">
        <v>0</v>
      </c>
      <c r="F659" s="512"/>
      <c r="G659" s="512">
        <v>104000</v>
      </c>
      <c r="H659" s="512">
        <v>10.4</v>
      </c>
      <c r="I659" s="512"/>
      <c r="J659" s="512" t="s">
        <v>250</v>
      </c>
      <c r="K659" s="512" t="b">
        <v>1</v>
      </c>
      <c r="L659" s="512">
        <v>5</v>
      </c>
      <c r="M659" s="513">
        <v>2027</v>
      </c>
      <c r="N659" s="514">
        <v>0</v>
      </c>
      <c r="O659" s="515">
        <v>44620</v>
      </c>
      <c r="P659" s="515">
        <v>44620</v>
      </c>
      <c r="Q659" s="516">
        <v>0</v>
      </c>
    </row>
    <row r="660" spans="1:17" ht="16.5">
      <c r="A660" s="9">
        <v>2022</v>
      </c>
      <c r="B660" s="10" t="s">
        <v>748</v>
      </c>
      <c r="C660" s="511" t="s">
        <v>749</v>
      </c>
      <c r="D660" s="512">
        <v>218000</v>
      </c>
      <c r="E660" s="512">
        <v>0</v>
      </c>
      <c r="F660" s="512"/>
      <c r="G660" s="512">
        <v>104000</v>
      </c>
      <c r="H660" s="512">
        <v>10.4</v>
      </c>
      <c r="I660" s="512"/>
      <c r="J660" s="512" t="s">
        <v>250</v>
      </c>
      <c r="K660" s="512" t="b">
        <v>1</v>
      </c>
      <c r="L660" s="512">
        <v>9</v>
      </c>
      <c r="M660" s="513">
        <v>2031</v>
      </c>
      <c r="N660" s="514">
        <v>0</v>
      </c>
      <c r="O660" s="515">
        <v>44620</v>
      </c>
      <c r="P660" s="515">
        <v>44620</v>
      </c>
      <c r="Q660" s="516">
        <v>0</v>
      </c>
    </row>
    <row r="661" spans="1:17" ht="16.5">
      <c r="A661" s="9">
        <v>2022</v>
      </c>
      <c r="B661" s="10" t="s">
        <v>748</v>
      </c>
      <c r="C661" s="511" t="s">
        <v>749</v>
      </c>
      <c r="D661" s="512">
        <v>218000</v>
      </c>
      <c r="E661" s="512">
        <v>0</v>
      </c>
      <c r="F661" s="512"/>
      <c r="G661" s="512">
        <v>104000</v>
      </c>
      <c r="H661" s="512">
        <v>10.4</v>
      </c>
      <c r="I661" s="512"/>
      <c r="J661" s="512" t="s">
        <v>250</v>
      </c>
      <c r="K661" s="512" t="b">
        <v>1</v>
      </c>
      <c r="L661" s="512">
        <v>1</v>
      </c>
      <c r="M661" s="513">
        <v>2023</v>
      </c>
      <c r="N661" s="514">
        <v>0</v>
      </c>
      <c r="O661" s="515">
        <v>44620</v>
      </c>
      <c r="P661" s="515">
        <v>44620</v>
      </c>
      <c r="Q661" s="516">
        <v>0</v>
      </c>
    </row>
    <row r="662" spans="1:17" ht="16.5">
      <c r="A662" s="9">
        <v>2022</v>
      </c>
      <c r="B662" s="10" t="s">
        <v>748</v>
      </c>
      <c r="C662" s="511" t="s">
        <v>749</v>
      </c>
      <c r="D662" s="512">
        <v>218000</v>
      </c>
      <c r="E662" s="512">
        <v>0</v>
      </c>
      <c r="F662" s="512"/>
      <c r="G662" s="512">
        <v>104000</v>
      </c>
      <c r="H662" s="512">
        <v>10.4</v>
      </c>
      <c r="I662" s="512"/>
      <c r="J662" s="512" t="s">
        <v>250</v>
      </c>
      <c r="K662" s="512" t="b">
        <v>1</v>
      </c>
      <c r="L662" s="512">
        <v>0</v>
      </c>
      <c r="M662" s="513">
        <v>2022</v>
      </c>
      <c r="N662" s="514">
        <v>0</v>
      </c>
      <c r="O662" s="515">
        <v>44620</v>
      </c>
      <c r="P662" s="515">
        <v>44620</v>
      </c>
      <c r="Q662" s="516">
        <v>0</v>
      </c>
    </row>
    <row r="663" spans="1:17" ht="16.5">
      <c r="A663" s="9">
        <v>2022</v>
      </c>
      <c r="B663" s="10" t="s">
        <v>748</v>
      </c>
      <c r="C663" s="511" t="s">
        <v>749</v>
      </c>
      <c r="D663" s="512">
        <v>218000</v>
      </c>
      <c r="E663" s="512">
        <v>0</v>
      </c>
      <c r="F663" s="512"/>
      <c r="G663" s="512">
        <v>104000</v>
      </c>
      <c r="H663" s="512">
        <v>10.4</v>
      </c>
      <c r="I663" s="512"/>
      <c r="J663" s="512" t="s">
        <v>250</v>
      </c>
      <c r="K663" s="512" t="b">
        <v>1</v>
      </c>
      <c r="L663" s="512">
        <v>3</v>
      </c>
      <c r="M663" s="513">
        <v>2025</v>
      </c>
      <c r="N663" s="514">
        <v>0</v>
      </c>
      <c r="O663" s="515">
        <v>44620</v>
      </c>
      <c r="P663" s="515">
        <v>44620</v>
      </c>
      <c r="Q663" s="516">
        <v>0</v>
      </c>
    </row>
    <row r="664" spans="1:17" ht="16.5">
      <c r="A664" s="9">
        <v>2022</v>
      </c>
      <c r="B664" s="10" t="s">
        <v>748</v>
      </c>
      <c r="C664" s="511" t="s">
        <v>749</v>
      </c>
      <c r="D664" s="512">
        <v>218000</v>
      </c>
      <c r="E664" s="512">
        <v>0</v>
      </c>
      <c r="F664" s="512"/>
      <c r="G664" s="512">
        <v>104000</v>
      </c>
      <c r="H664" s="512">
        <v>10.4</v>
      </c>
      <c r="I664" s="512"/>
      <c r="J664" s="512" t="s">
        <v>250</v>
      </c>
      <c r="K664" s="512" t="b">
        <v>1</v>
      </c>
      <c r="L664" s="512">
        <v>6</v>
      </c>
      <c r="M664" s="513">
        <v>2028</v>
      </c>
      <c r="N664" s="514">
        <v>0</v>
      </c>
      <c r="O664" s="515">
        <v>44620</v>
      </c>
      <c r="P664" s="515">
        <v>44620</v>
      </c>
      <c r="Q664" s="516">
        <v>0</v>
      </c>
    </row>
    <row r="665" spans="1:17" ht="16.5">
      <c r="A665" s="9">
        <v>2022</v>
      </c>
      <c r="B665" s="10" t="s">
        <v>748</v>
      </c>
      <c r="C665" s="511" t="s">
        <v>749</v>
      </c>
      <c r="D665" s="512">
        <v>218000</v>
      </c>
      <c r="E665" s="512">
        <v>0</v>
      </c>
      <c r="F665" s="512"/>
      <c r="G665" s="512">
        <v>104000</v>
      </c>
      <c r="H665" s="512">
        <v>10.4</v>
      </c>
      <c r="I665" s="512"/>
      <c r="J665" s="512" t="s">
        <v>250</v>
      </c>
      <c r="K665" s="512" t="b">
        <v>1</v>
      </c>
      <c r="L665" s="512">
        <v>8</v>
      </c>
      <c r="M665" s="513">
        <v>2030</v>
      </c>
      <c r="N665" s="514">
        <v>0</v>
      </c>
      <c r="O665" s="515">
        <v>44620</v>
      </c>
      <c r="P665" s="515">
        <v>44620</v>
      </c>
      <c r="Q665" s="516">
        <v>0</v>
      </c>
    </row>
    <row r="666" spans="1:17" ht="16.5">
      <c r="A666" s="9">
        <v>2022</v>
      </c>
      <c r="B666" s="10" t="s">
        <v>748</v>
      </c>
      <c r="C666" s="511" t="s">
        <v>749</v>
      </c>
      <c r="D666" s="512">
        <v>218000</v>
      </c>
      <c r="E666" s="512">
        <v>0</v>
      </c>
      <c r="F666" s="512"/>
      <c r="G666" s="512">
        <v>51133</v>
      </c>
      <c r="H666" s="512" t="s">
        <v>276</v>
      </c>
      <c r="I666" s="512"/>
      <c r="J666" s="512" t="s">
        <v>217</v>
      </c>
      <c r="K666" s="512" t="b">
        <v>1</v>
      </c>
      <c r="L666" s="512">
        <v>2</v>
      </c>
      <c r="M666" s="513">
        <v>2024</v>
      </c>
      <c r="N666" s="514">
        <v>0</v>
      </c>
      <c r="O666" s="515">
        <v>44620</v>
      </c>
      <c r="P666" s="515">
        <v>44620</v>
      </c>
      <c r="Q666" s="516">
        <v>0</v>
      </c>
    </row>
    <row r="667" spans="1:17" ht="16.5">
      <c r="A667" s="9">
        <v>2022</v>
      </c>
      <c r="B667" s="10" t="s">
        <v>748</v>
      </c>
      <c r="C667" s="511" t="s">
        <v>749</v>
      </c>
      <c r="D667" s="512">
        <v>218000</v>
      </c>
      <c r="E667" s="512">
        <v>0</v>
      </c>
      <c r="F667" s="512"/>
      <c r="G667" s="512">
        <v>104000</v>
      </c>
      <c r="H667" s="512">
        <v>10.4</v>
      </c>
      <c r="I667" s="512"/>
      <c r="J667" s="512" t="s">
        <v>250</v>
      </c>
      <c r="K667" s="512" t="b">
        <v>1</v>
      </c>
      <c r="L667" s="512">
        <v>11</v>
      </c>
      <c r="M667" s="513">
        <v>2033</v>
      </c>
      <c r="N667" s="514">
        <v>0</v>
      </c>
      <c r="O667" s="515">
        <v>44620</v>
      </c>
      <c r="P667" s="515">
        <v>44620</v>
      </c>
      <c r="Q667" s="516">
        <v>0</v>
      </c>
    </row>
    <row r="668" spans="1:17" ht="16.5">
      <c r="A668" s="9">
        <v>2022</v>
      </c>
      <c r="B668" s="10" t="s">
        <v>748</v>
      </c>
      <c r="C668" s="511" t="s">
        <v>749</v>
      </c>
      <c r="D668" s="512">
        <v>218000</v>
      </c>
      <c r="E668" s="512">
        <v>0</v>
      </c>
      <c r="F668" s="512"/>
      <c r="G668" s="512">
        <v>110000</v>
      </c>
      <c r="H668" s="512">
        <v>11</v>
      </c>
      <c r="I668" s="512"/>
      <c r="J668" s="512" t="s">
        <v>170</v>
      </c>
      <c r="K668" s="512" t="b">
        <v>1</v>
      </c>
      <c r="L668" s="512">
        <v>11</v>
      </c>
      <c r="M668" s="513">
        <v>2033</v>
      </c>
      <c r="N668" s="514">
        <v>0</v>
      </c>
      <c r="O668" s="515">
        <v>44620</v>
      </c>
      <c r="P668" s="515">
        <v>44620</v>
      </c>
      <c r="Q668" s="516">
        <v>0</v>
      </c>
    </row>
    <row r="669" spans="1:17" ht="16.5">
      <c r="A669" s="9">
        <v>2022</v>
      </c>
      <c r="B669" s="10" t="s">
        <v>748</v>
      </c>
      <c r="C669" s="511" t="s">
        <v>749</v>
      </c>
      <c r="D669" s="512">
        <v>218000</v>
      </c>
      <c r="E669" s="512">
        <v>0</v>
      </c>
      <c r="F669" s="512"/>
      <c r="G669" s="512">
        <v>110000</v>
      </c>
      <c r="H669" s="512">
        <v>11</v>
      </c>
      <c r="I669" s="512"/>
      <c r="J669" s="512" t="s">
        <v>170</v>
      </c>
      <c r="K669" s="512" t="b">
        <v>1</v>
      </c>
      <c r="L669" s="512">
        <v>1</v>
      </c>
      <c r="M669" s="513">
        <v>2023</v>
      </c>
      <c r="N669" s="514">
        <v>0</v>
      </c>
      <c r="O669" s="515">
        <v>44620</v>
      </c>
      <c r="P669" s="515">
        <v>44620</v>
      </c>
      <c r="Q669" s="516">
        <v>0</v>
      </c>
    </row>
    <row r="670" spans="1:17" ht="16.5">
      <c r="A670" s="9">
        <v>2022</v>
      </c>
      <c r="B670" s="10" t="s">
        <v>748</v>
      </c>
      <c r="C670" s="511" t="s">
        <v>749</v>
      </c>
      <c r="D670" s="512">
        <v>218000</v>
      </c>
      <c r="E670" s="512">
        <v>0</v>
      </c>
      <c r="F670" s="512"/>
      <c r="G670" s="512">
        <v>110000</v>
      </c>
      <c r="H670" s="512">
        <v>11</v>
      </c>
      <c r="I670" s="512"/>
      <c r="J670" s="512" t="s">
        <v>170</v>
      </c>
      <c r="K670" s="512" t="b">
        <v>1</v>
      </c>
      <c r="L670" s="512">
        <v>7</v>
      </c>
      <c r="M670" s="513">
        <v>2029</v>
      </c>
      <c r="N670" s="514">
        <v>0</v>
      </c>
      <c r="O670" s="515">
        <v>44620</v>
      </c>
      <c r="P670" s="515">
        <v>44620</v>
      </c>
      <c r="Q670" s="516">
        <v>0</v>
      </c>
    </row>
    <row r="671" spans="1:17" ht="16.5">
      <c r="A671" s="9">
        <v>2022</v>
      </c>
      <c r="B671" s="10" t="s">
        <v>748</v>
      </c>
      <c r="C671" s="511" t="s">
        <v>749</v>
      </c>
      <c r="D671" s="512">
        <v>218000</v>
      </c>
      <c r="E671" s="512">
        <v>0</v>
      </c>
      <c r="F671" s="512"/>
      <c r="G671" s="512">
        <v>110000</v>
      </c>
      <c r="H671" s="512">
        <v>11</v>
      </c>
      <c r="I671" s="512"/>
      <c r="J671" s="512" t="s">
        <v>170</v>
      </c>
      <c r="K671" s="512" t="b">
        <v>1</v>
      </c>
      <c r="L671" s="512">
        <v>5</v>
      </c>
      <c r="M671" s="513">
        <v>2027</v>
      </c>
      <c r="N671" s="514">
        <v>0</v>
      </c>
      <c r="O671" s="515">
        <v>44620</v>
      </c>
      <c r="P671" s="515">
        <v>44620</v>
      </c>
      <c r="Q671" s="516">
        <v>0</v>
      </c>
    </row>
    <row r="672" spans="1:17" ht="16.5">
      <c r="A672" s="9">
        <v>2022</v>
      </c>
      <c r="B672" s="10" t="s">
        <v>748</v>
      </c>
      <c r="C672" s="511" t="s">
        <v>749</v>
      </c>
      <c r="D672" s="512">
        <v>218000</v>
      </c>
      <c r="E672" s="512">
        <v>0</v>
      </c>
      <c r="F672" s="512"/>
      <c r="G672" s="512">
        <v>110000</v>
      </c>
      <c r="H672" s="512">
        <v>11</v>
      </c>
      <c r="I672" s="512"/>
      <c r="J672" s="512" t="s">
        <v>170</v>
      </c>
      <c r="K672" s="512" t="b">
        <v>1</v>
      </c>
      <c r="L672" s="512">
        <v>8</v>
      </c>
      <c r="M672" s="513">
        <v>2030</v>
      </c>
      <c r="N672" s="514">
        <v>0</v>
      </c>
      <c r="O672" s="515">
        <v>44620</v>
      </c>
      <c r="P672" s="515">
        <v>44620</v>
      </c>
      <c r="Q672" s="516">
        <v>0</v>
      </c>
    </row>
    <row r="673" spans="1:17" ht="16.5">
      <c r="A673" s="9">
        <v>2022</v>
      </c>
      <c r="B673" s="10" t="s">
        <v>748</v>
      </c>
      <c r="C673" s="511" t="s">
        <v>749</v>
      </c>
      <c r="D673" s="512">
        <v>218000</v>
      </c>
      <c r="E673" s="512">
        <v>0</v>
      </c>
      <c r="F673" s="512"/>
      <c r="G673" s="512">
        <v>110000</v>
      </c>
      <c r="H673" s="512">
        <v>11</v>
      </c>
      <c r="I673" s="512"/>
      <c r="J673" s="512" t="s">
        <v>170</v>
      </c>
      <c r="K673" s="512" t="b">
        <v>1</v>
      </c>
      <c r="L673" s="512">
        <v>4</v>
      </c>
      <c r="M673" s="513">
        <v>2026</v>
      </c>
      <c r="N673" s="514">
        <v>0</v>
      </c>
      <c r="O673" s="515">
        <v>44620</v>
      </c>
      <c r="P673" s="515">
        <v>44620</v>
      </c>
      <c r="Q673" s="516">
        <v>0</v>
      </c>
    </row>
    <row r="674" spans="1:17" ht="16.5">
      <c r="A674" s="9">
        <v>2022</v>
      </c>
      <c r="B674" s="10" t="s">
        <v>748</v>
      </c>
      <c r="C674" s="511" t="s">
        <v>749</v>
      </c>
      <c r="D674" s="512">
        <v>218000</v>
      </c>
      <c r="E674" s="512">
        <v>0</v>
      </c>
      <c r="F674" s="512"/>
      <c r="G674" s="512">
        <v>110000</v>
      </c>
      <c r="H674" s="512">
        <v>11</v>
      </c>
      <c r="I674" s="512"/>
      <c r="J674" s="512" t="s">
        <v>170</v>
      </c>
      <c r="K674" s="512" t="b">
        <v>1</v>
      </c>
      <c r="L674" s="512">
        <v>0</v>
      </c>
      <c r="M674" s="513">
        <v>2022</v>
      </c>
      <c r="N674" s="514">
        <v>0</v>
      </c>
      <c r="O674" s="515">
        <v>44620</v>
      </c>
      <c r="P674" s="515">
        <v>44620</v>
      </c>
      <c r="Q674" s="516">
        <v>0</v>
      </c>
    </row>
    <row r="675" spans="1:17" ht="16.5">
      <c r="A675" s="9">
        <v>2022</v>
      </c>
      <c r="B675" s="10" t="s">
        <v>748</v>
      </c>
      <c r="C675" s="511" t="s">
        <v>749</v>
      </c>
      <c r="D675" s="512">
        <v>218000</v>
      </c>
      <c r="E675" s="512">
        <v>0</v>
      </c>
      <c r="F675" s="512"/>
      <c r="G675" s="512">
        <v>110000</v>
      </c>
      <c r="H675" s="512">
        <v>11</v>
      </c>
      <c r="I675" s="512"/>
      <c r="J675" s="512" t="s">
        <v>170</v>
      </c>
      <c r="K675" s="512" t="b">
        <v>1</v>
      </c>
      <c r="L675" s="512">
        <v>3</v>
      </c>
      <c r="M675" s="513">
        <v>2025</v>
      </c>
      <c r="N675" s="514">
        <v>0</v>
      </c>
      <c r="O675" s="515">
        <v>44620</v>
      </c>
      <c r="P675" s="515">
        <v>44620</v>
      </c>
      <c r="Q675" s="516">
        <v>0</v>
      </c>
    </row>
    <row r="676" spans="1:17" ht="16.5">
      <c r="A676" s="9">
        <v>2022</v>
      </c>
      <c r="B676" s="10" t="s">
        <v>748</v>
      </c>
      <c r="C676" s="511" t="s">
        <v>749</v>
      </c>
      <c r="D676" s="512">
        <v>218000</v>
      </c>
      <c r="E676" s="512">
        <v>0</v>
      </c>
      <c r="F676" s="512"/>
      <c r="G676" s="512">
        <v>110000</v>
      </c>
      <c r="H676" s="512">
        <v>11</v>
      </c>
      <c r="I676" s="512"/>
      <c r="J676" s="512" t="s">
        <v>170</v>
      </c>
      <c r="K676" s="512" t="b">
        <v>1</v>
      </c>
      <c r="L676" s="512">
        <v>2</v>
      </c>
      <c r="M676" s="513">
        <v>2024</v>
      </c>
      <c r="N676" s="514">
        <v>0</v>
      </c>
      <c r="O676" s="515">
        <v>44620</v>
      </c>
      <c r="P676" s="515">
        <v>44620</v>
      </c>
      <c r="Q676" s="516">
        <v>0</v>
      </c>
    </row>
    <row r="677" spans="1:17" ht="16.5">
      <c r="A677" s="9">
        <v>2022</v>
      </c>
      <c r="B677" s="10" t="s">
        <v>748</v>
      </c>
      <c r="C677" s="511" t="s">
        <v>749</v>
      </c>
      <c r="D677" s="512">
        <v>218000</v>
      </c>
      <c r="E677" s="512">
        <v>0</v>
      </c>
      <c r="F677" s="512"/>
      <c r="G677" s="512">
        <v>110000</v>
      </c>
      <c r="H677" s="512">
        <v>11</v>
      </c>
      <c r="I677" s="512"/>
      <c r="J677" s="512" t="s">
        <v>170</v>
      </c>
      <c r="K677" s="512" t="b">
        <v>1</v>
      </c>
      <c r="L677" s="512">
        <v>9</v>
      </c>
      <c r="M677" s="513">
        <v>2031</v>
      </c>
      <c r="N677" s="514">
        <v>0</v>
      </c>
      <c r="O677" s="515">
        <v>44620</v>
      </c>
      <c r="P677" s="515">
        <v>44620</v>
      </c>
      <c r="Q677" s="516">
        <v>0</v>
      </c>
    </row>
    <row r="678" spans="1:17" ht="16.5">
      <c r="A678" s="9">
        <v>2022</v>
      </c>
      <c r="B678" s="10" t="s">
        <v>748</v>
      </c>
      <c r="C678" s="511" t="s">
        <v>749</v>
      </c>
      <c r="D678" s="512">
        <v>218000</v>
      </c>
      <c r="E678" s="512">
        <v>0</v>
      </c>
      <c r="F678" s="512"/>
      <c r="G678" s="512">
        <v>110000</v>
      </c>
      <c r="H678" s="512">
        <v>11</v>
      </c>
      <c r="I678" s="512"/>
      <c r="J678" s="512" t="s">
        <v>170</v>
      </c>
      <c r="K678" s="512" t="b">
        <v>1</v>
      </c>
      <c r="L678" s="512">
        <v>10</v>
      </c>
      <c r="M678" s="513">
        <v>2032</v>
      </c>
      <c r="N678" s="514">
        <v>0</v>
      </c>
      <c r="O678" s="515">
        <v>44620</v>
      </c>
      <c r="P678" s="515">
        <v>44620</v>
      </c>
      <c r="Q678" s="516">
        <v>0</v>
      </c>
    </row>
    <row r="679" spans="1:17" ht="16.5">
      <c r="A679" s="9">
        <v>2022</v>
      </c>
      <c r="B679" s="10" t="s">
        <v>748</v>
      </c>
      <c r="C679" s="511" t="s">
        <v>749</v>
      </c>
      <c r="D679" s="512">
        <v>218000</v>
      </c>
      <c r="E679" s="512">
        <v>0</v>
      </c>
      <c r="F679" s="512"/>
      <c r="G679" s="512">
        <v>110000</v>
      </c>
      <c r="H679" s="512">
        <v>11</v>
      </c>
      <c r="I679" s="512"/>
      <c r="J679" s="512" t="s">
        <v>170</v>
      </c>
      <c r="K679" s="512" t="b">
        <v>1</v>
      </c>
      <c r="L679" s="512">
        <v>6</v>
      </c>
      <c r="M679" s="513">
        <v>2028</v>
      </c>
      <c r="N679" s="514">
        <v>0</v>
      </c>
      <c r="O679" s="515">
        <v>44620</v>
      </c>
      <c r="P679" s="515">
        <v>44620</v>
      </c>
      <c r="Q679" s="516">
        <v>0</v>
      </c>
    </row>
    <row r="680" spans="1:17" ht="16.5">
      <c r="A680" s="9">
        <v>2022</v>
      </c>
      <c r="B680" s="10" t="s">
        <v>748</v>
      </c>
      <c r="C680" s="511" t="s">
        <v>749</v>
      </c>
      <c r="D680" s="512">
        <v>218000</v>
      </c>
      <c r="E680" s="512">
        <v>0</v>
      </c>
      <c r="F680" s="512"/>
      <c r="G680" s="512">
        <v>93100</v>
      </c>
      <c r="H680" s="512" t="s">
        <v>287</v>
      </c>
      <c r="I680" s="512"/>
      <c r="J680" s="512" t="s">
        <v>240</v>
      </c>
      <c r="K680" s="512" t="b">
        <v>0</v>
      </c>
      <c r="L680" s="512">
        <v>5</v>
      </c>
      <c r="M680" s="513">
        <v>2027</v>
      </c>
      <c r="N680" s="514">
        <v>0</v>
      </c>
      <c r="O680" s="515">
        <v>44620</v>
      </c>
      <c r="P680" s="515">
        <v>44620</v>
      </c>
      <c r="Q680" s="516">
        <v>0</v>
      </c>
    </row>
    <row r="681" spans="1:17" ht="16.5">
      <c r="A681" s="9">
        <v>2022</v>
      </c>
      <c r="B681" s="10" t="s">
        <v>748</v>
      </c>
      <c r="C681" s="511" t="s">
        <v>749</v>
      </c>
      <c r="D681" s="512">
        <v>218000</v>
      </c>
      <c r="E681" s="512">
        <v>0</v>
      </c>
      <c r="F681" s="512"/>
      <c r="G681" s="512">
        <v>93100</v>
      </c>
      <c r="H681" s="512" t="s">
        <v>287</v>
      </c>
      <c r="I681" s="512"/>
      <c r="J681" s="512" t="s">
        <v>240</v>
      </c>
      <c r="K681" s="512" t="b">
        <v>0</v>
      </c>
      <c r="L681" s="512">
        <v>8</v>
      </c>
      <c r="M681" s="513">
        <v>2030</v>
      </c>
      <c r="N681" s="514">
        <v>0</v>
      </c>
      <c r="O681" s="515">
        <v>44620</v>
      </c>
      <c r="P681" s="515">
        <v>44620</v>
      </c>
      <c r="Q681" s="516">
        <v>0</v>
      </c>
    </row>
    <row r="682" spans="1:17" ht="16.5">
      <c r="A682" s="9">
        <v>2022</v>
      </c>
      <c r="B682" s="10" t="s">
        <v>748</v>
      </c>
      <c r="C682" s="511" t="s">
        <v>749</v>
      </c>
      <c r="D682" s="512">
        <v>218000</v>
      </c>
      <c r="E682" s="512">
        <v>0</v>
      </c>
      <c r="F682" s="512"/>
      <c r="G682" s="512">
        <v>93100</v>
      </c>
      <c r="H682" s="512" t="s">
        <v>287</v>
      </c>
      <c r="I682" s="512"/>
      <c r="J682" s="512" t="s">
        <v>240</v>
      </c>
      <c r="K682" s="512" t="b">
        <v>0</v>
      </c>
      <c r="L682" s="512">
        <v>6</v>
      </c>
      <c r="M682" s="513">
        <v>2028</v>
      </c>
      <c r="N682" s="514">
        <v>0</v>
      </c>
      <c r="O682" s="515">
        <v>44620</v>
      </c>
      <c r="P682" s="515">
        <v>44620</v>
      </c>
      <c r="Q682" s="516">
        <v>0</v>
      </c>
    </row>
    <row r="683" spans="1:17" ht="16.5">
      <c r="A683" s="9">
        <v>2022</v>
      </c>
      <c r="B683" s="10" t="s">
        <v>748</v>
      </c>
      <c r="C683" s="511" t="s">
        <v>749</v>
      </c>
      <c r="D683" s="512">
        <v>218000</v>
      </c>
      <c r="E683" s="512">
        <v>0</v>
      </c>
      <c r="F683" s="512"/>
      <c r="G683" s="512">
        <v>93100</v>
      </c>
      <c r="H683" s="512" t="s">
        <v>287</v>
      </c>
      <c r="I683" s="512"/>
      <c r="J683" s="512" t="s">
        <v>240</v>
      </c>
      <c r="K683" s="512" t="b">
        <v>0</v>
      </c>
      <c r="L683" s="512">
        <v>4</v>
      </c>
      <c r="M683" s="513">
        <v>2026</v>
      </c>
      <c r="N683" s="514">
        <v>0</v>
      </c>
      <c r="O683" s="515">
        <v>44620</v>
      </c>
      <c r="P683" s="515">
        <v>44620</v>
      </c>
      <c r="Q683" s="516">
        <v>0</v>
      </c>
    </row>
    <row r="684" spans="1:17" ht="16.5">
      <c r="A684" s="9">
        <v>2022</v>
      </c>
      <c r="B684" s="10" t="s">
        <v>748</v>
      </c>
      <c r="C684" s="511" t="s">
        <v>749</v>
      </c>
      <c r="D684" s="512">
        <v>218000</v>
      </c>
      <c r="E684" s="512">
        <v>0</v>
      </c>
      <c r="F684" s="512"/>
      <c r="G684" s="512">
        <v>93100</v>
      </c>
      <c r="H684" s="512" t="s">
        <v>287</v>
      </c>
      <c r="I684" s="512"/>
      <c r="J684" s="512" t="s">
        <v>240</v>
      </c>
      <c r="K684" s="512" t="b">
        <v>0</v>
      </c>
      <c r="L684" s="512">
        <v>7</v>
      </c>
      <c r="M684" s="513">
        <v>2029</v>
      </c>
      <c r="N684" s="514">
        <v>0</v>
      </c>
      <c r="O684" s="515">
        <v>44620</v>
      </c>
      <c r="P684" s="515">
        <v>44620</v>
      </c>
      <c r="Q684" s="516">
        <v>0</v>
      </c>
    </row>
    <row r="685" spans="1:17" ht="16.5">
      <c r="A685" s="9">
        <v>2022</v>
      </c>
      <c r="B685" s="10" t="s">
        <v>748</v>
      </c>
      <c r="C685" s="511" t="s">
        <v>749</v>
      </c>
      <c r="D685" s="512">
        <v>218000</v>
      </c>
      <c r="E685" s="512">
        <v>0</v>
      </c>
      <c r="F685" s="512"/>
      <c r="G685" s="512">
        <v>93100</v>
      </c>
      <c r="H685" s="512" t="s">
        <v>287</v>
      </c>
      <c r="I685" s="512"/>
      <c r="J685" s="512" t="s">
        <v>240</v>
      </c>
      <c r="K685" s="512" t="b">
        <v>0</v>
      </c>
      <c r="L685" s="512">
        <v>10</v>
      </c>
      <c r="M685" s="513">
        <v>2032</v>
      </c>
      <c r="N685" s="514">
        <v>0</v>
      </c>
      <c r="O685" s="515">
        <v>44620</v>
      </c>
      <c r="P685" s="515">
        <v>44620</v>
      </c>
      <c r="Q685" s="516">
        <v>0</v>
      </c>
    </row>
    <row r="686" spans="1:17" ht="16.5">
      <c r="A686" s="9">
        <v>2022</v>
      </c>
      <c r="B686" s="10" t="s">
        <v>748</v>
      </c>
      <c r="C686" s="511" t="s">
        <v>749</v>
      </c>
      <c r="D686" s="512">
        <v>218000</v>
      </c>
      <c r="E686" s="512">
        <v>0</v>
      </c>
      <c r="F686" s="512"/>
      <c r="G686" s="512">
        <v>93100</v>
      </c>
      <c r="H686" s="512" t="s">
        <v>287</v>
      </c>
      <c r="I686" s="512"/>
      <c r="J686" s="512" t="s">
        <v>240</v>
      </c>
      <c r="K686" s="512" t="b">
        <v>0</v>
      </c>
      <c r="L686" s="512">
        <v>11</v>
      </c>
      <c r="M686" s="513">
        <v>2033</v>
      </c>
      <c r="N686" s="514">
        <v>0</v>
      </c>
      <c r="O686" s="515">
        <v>44620</v>
      </c>
      <c r="P686" s="515">
        <v>44620</v>
      </c>
      <c r="Q686" s="516">
        <v>0</v>
      </c>
    </row>
    <row r="687" spans="1:17" ht="16.5">
      <c r="A687" s="9">
        <v>2022</v>
      </c>
      <c r="B687" s="10" t="s">
        <v>748</v>
      </c>
      <c r="C687" s="511" t="s">
        <v>749</v>
      </c>
      <c r="D687" s="512">
        <v>218000</v>
      </c>
      <c r="E687" s="512">
        <v>0</v>
      </c>
      <c r="F687" s="512"/>
      <c r="G687" s="512">
        <v>93100</v>
      </c>
      <c r="H687" s="512" t="s">
        <v>287</v>
      </c>
      <c r="I687" s="512"/>
      <c r="J687" s="512" t="s">
        <v>240</v>
      </c>
      <c r="K687" s="512" t="b">
        <v>0</v>
      </c>
      <c r="L687" s="512">
        <v>1</v>
      </c>
      <c r="M687" s="513">
        <v>2023</v>
      </c>
      <c r="N687" s="514">
        <v>418220</v>
      </c>
      <c r="O687" s="515">
        <v>44620</v>
      </c>
      <c r="P687" s="515">
        <v>44620</v>
      </c>
      <c r="Q687" s="516">
        <v>0</v>
      </c>
    </row>
    <row r="688" spans="1:17" ht="16.5">
      <c r="A688" s="9">
        <v>2022</v>
      </c>
      <c r="B688" s="10" t="s">
        <v>748</v>
      </c>
      <c r="C688" s="511" t="s">
        <v>749</v>
      </c>
      <c r="D688" s="512">
        <v>218000</v>
      </c>
      <c r="E688" s="512">
        <v>0</v>
      </c>
      <c r="F688" s="512"/>
      <c r="G688" s="512">
        <v>93100</v>
      </c>
      <c r="H688" s="512" t="s">
        <v>287</v>
      </c>
      <c r="I688" s="512"/>
      <c r="J688" s="512" t="s">
        <v>240</v>
      </c>
      <c r="K688" s="512" t="b">
        <v>0</v>
      </c>
      <c r="L688" s="512">
        <v>0</v>
      </c>
      <c r="M688" s="513">
        <v>2022</v>
      </c>
      <c r="N688" s="514">
        <v>2312536</v>
      </c>
      <c r="O688" s="515">
        <v>44620</v>
      </c>
      <c r="P688" s="515">
        <v>44620</v>
      </c>
      <c r="Q688" s="516">
        <v>0</v>
      </c>
    </row>
    <row r="689" spans="1:17" ht="16.5">
      <c r="A689" s="9">
        <v>2022</v>
      </c>
      <c r="B689" s="10" t="s">
        <v>748</v>
      </c>
      <c r="C689" s="511" t="s">
        <v>749</v>
      </c>
      <c r="D689" s="512">
        <v>218000</v>
      </c>
      <c r="E689" s="512">
        <v>0</v>
      </c>
      <c r="F689" s="512"/>
      <c r="G689" s="512">
        <v>93100</v>
      </c>
      <c r="H689" s="512" t="s">
        <v>287</v>
      </c>
      <c r="I689" s="512"/>
      <c r="J689" s="512" t="s">
        <v>240</v>
      </c>
      <c r="K689" s="512" t="b">
        <v>0</v>
      </c>
      <c r="L689" s="512">
        <v>9</v>
      </c>
      <c r="M689" s="513">
        <v>2031</v>
      </c>
      <c r="N689" s="514">
        <v>0</v>
      </c>
      <c r="O689" s="515">
        <v>44620</v>
      </c>
      <c r="P689" s="515">
        <v>44620</v>
      </c>
      <c r="Q689" s="516">
        <v>0</v>
      </c>
    </row>
    <row r="690" spans="1:17" ht="16.5">
      <c r="A690" s="9">
        <v>2022</v>
      </c>
      <c r="B690" s="10" t="s">
        <v>748</v>
      </c>
      <c r="C690" s="511" t="s">
        <v>749</v>
      </c>
      <c r="D690" s="512">
        <v>218000</v>
      </c>
      <c r="E690" s="512">
        <v>0</v>
      </c>
      <c r="F690" s="512"/>
      <c r="G690" s="512">
        <v>93100</v>
      </c>
      <c r="H690" s="512" t="s">
        <v>287</v>
      </c>
      <c r="I690" s="512"/>
      <c r="J690" s="512" t="s">
        <v>240</v>
      </c>
      <c r="K690" s="512" t="b">
        <v>0</v>
      </c>
      <c r="L690" s="512">
        <v>3</v>
      </c>
      <c r="M690" s="513">
        <v>2025</v>
      </c>
      <c r="N690" s="514">
        <v>0</v>
      </c>
      <c r="O690" s="515">
        <v>44620</v>
      </c>
      <c r="P690" s="515">
        <v>44620</v>
      </c>
      <c r="Q690" s="516">
        <v>0</v>
      </c>
    </row>
    <row r="691" spans="1:17" ht="16.5">
      <c r="A691" s="9">
        <v>2022</v>
      </c>
      <c r="B691" s="10" t="s">
        <v>748</v>
      </c>
      <c r="C691" s="511" t="s">
        <v>749</v>
      </c>
      <c r="D691" s="512">
        <v>218000</v>
      </c>
      <c r="E691" s="512">
        <v>0</v>
      </c>
      <c r="F691" s="512"/>
      <c r="G691" s="512">
        <v>93100</v>
      </c>
      <c r="H691" s="512" t="s">
        <v>287</v>
      </c>
      <c r="I691" s="512"/>
      <c r="J691" s="512" t="s">
        <v>240</v>
      </c>
      <c r="K691" s="512" t="b">
        <v>0</v>
      </c>
      <c r="L691" s="512">
        <v>2</v>
      </c>
      <c r="M691" s="513">
        <v>2024</v>
      </c>
      <c r="N691" s="514">
        <v>0</v>
      </c>
      <c r="O691" s="515">
        <v>44620</v>
      </c>
      <c r="P691" s="515">
        <v>44620</v>
      </c>
      <c r="Q691" s="516">
        <v>0</v>
      </c>
    </row>
    <row r="692" spans="1:17" ht="16.5">
      <c r="A692" s="9">
        <v>2022</v>
      </c>
      <c r="B692" s="10" t="s">
        <v>748</v>
      </c>
      <c r="C692" s="511" t="s">
        <v>749</v>
      </c>
      <c r="D692" s="512">
        <v>218000</v>
      </c>
      <c r="E692" s="512">
        <v>0</v>
      </c>
      <c r="F692" s="512"/>
      <c r="G692" s="512">
        <v>90000</v>
      </c>
      <c r="H692" s="512">
        <v>9</v>
      </c>
      <c r="I692" s="512"/>
      <c r="J692" s="512" t="s">
        <v>233</v>
      </c>
      <c r="K692" s="512" t="b">
        <v>1</v>
      </c>
      <c r="L692" s="512">
        <v>8</v>
      </c>
      <c r="M692" s="513">
        <v>2030</v>
      </c>
      <c r="N692" s="514">
        <v>0</v>
      </c>
      <c r="O692" s="515">
        <v>44620</v>
      </c>
      <c r="P692" s="515">
        <v>44620</v>
      </c>
      <c r="Q692" s="516">
        <v>0</v>
      </c>
    </row>
    <row r="693" spans="1:17" ht="16.5">
      <c r="A693" s="9">
        <v>2022</v>
      </c>
      <c r="B693" s="10" t="s">
        <v>748</v>
      </c>
      <c r="C693" s="511" t="s">
        <v>749</v>
      </c>
      <c r="D693" s="512">
        <v>218000</v>
      </c>
      <c r="E693" s="512">
        <v>0</v>
      </c>
      <c r="F693" s="512"/>
      <c r="G693" s="512">
        <v>90000</v>
      </c>
      <c r="H693" s="512">
        <v>9</v>
      </c>
      <c r="I693" s="512"/>
      <c r="J693" s="512" t="s">
        <v>233</v>
      </c>
      <c r="K693" s="512" t="b">
        <v>1</v>
      </c>
      <c r="L693" s="512">
        <v>0</v>
      </c>
      <c r="M693" s="513">
        <v>2022</v>
      </c>
      <c r="N693" s="514">
        <v>0</v>
      </c>
      <c r="O693" s="515">
        <v>44620</v>
      </c>
      <c r="P693" s="515">
        <v>44620</v>
      </c>
      <c r="Q693" s="516">
        <v>0</v>
      </c>
    </row>
    <row r="694" spans="1:17" ht="16.5">
      <c r="A694" s="9">
        <v>2022</v>
      </c>
      <c r="B694" s="10" t="s">
        <v>748</v>
      </c>
      <c r="C694" s="511" t="s">
        <v>749</v>
      </c>
      <c r="D694" s="512">
        <v>218000</v>
      </c>
      <c r="E694" s="512">
        <v>0</v>
      </c>
      <c r="F694" s="512"/>
      <c r="G694" s="512">
        <v>90000</v>
      </c>
      <c r="H694" s="512">
        <v>9</v>
      </c>
      <c r="I694" s="512"/>
      <c r="J694" s="512" t="s">
        <v>233</v>
      </c>
      <c r="K694" s="512" t="b">
        <v>1</v>
      </c>
      <c r="L694" s="512">
        <v>1</v>
      </c>
      <c r="M694" s="513">
        <v>2023</v>
      </c>
      <c r="N694" s="514">
        <v>0</v>
      </c>
      <c r="O694" s="515">
        <v>44620</v>
      </c>
      <c r="P694" s="515">
        <v>44620</v>
      </c>
      <c r="Q694" s="516">
        <v>0</v>
      </c>
    </row>
    <row r="695" spans="1:17" ht="16.5">
      <c r="A695" s="9">
        <v>2022</v>
      </c>
      <c r="B695" s="10" t="s">
        <v>748</v>
      </c>
      <c r="C695" s="511" t="s">
        <v>749</v>
      </c>
      <c r="D695" s="512">
        <v>218000</v>
      </c>
      <c r="E695" s="512">
        <v>0</v>
      </c>
      <c r="F695" s="512"/>
      <c r="G695" s="512">
        <v>90000</v>
      </c>
      <c r="H695" s="512">
        <v>9</v>
      </c>
      <c r="I695" s="512"/>
      <c r="J695" s="512" t="s">
        <v>233</v>
      </c>
      <c r="K695" s="512" t="b">
        <v>1</v>
      </c>
      <c r="L695" s="512">
        <v>9</v>
      </c>
      <c r="M695" s="513">
        <v>2031</v>
      </c>
      <c r="N695" s="514">
        <v>0</v>
      </c>
      <c r="O695" s="515">
        <v>44620</v>
      </c>
      <c r="P695" s="515">
        <v>44620</v>
      </c>
      <c r="Q695" s="516">
        <v>0</v>
      </c>
    </row>
    <row r="696" spans="1:17" ht="16.5">
      <c r="A696" s="9">
        <v>2022</v>
      </c>
      <c r="B696" s="10" t="s">
        <v>748</v>
      </c>
      <c r="C696" s="511" t="s">
        <v>749</v>
      </c>
      <c r="D696" s="512">
        <v>218000</v>
      </c>
      <c r="E696" s="512">
        <v>0</v>
      </c>
      <c r="F696" s="512"/>
      <c r="G696" s="512">
        <v>90000</v>
      </c>
      <c r="H696" s="512">
        <v>9</v>
      </c>
      <c r="I696" s="512"/>
      <c r="J696" s="512" t="s">
        <v>233</v>
      </c>
      <c r="K696" s="512" t="b">
        <v>1</v>
      </c>
      <c r="L696" s="512">
        <v>6</v>
      </c>
      <c r="M696" s="513">
        <v>2028</v>
      </c>
      <c r="N696" s="514">
        <v>0</v>
      </c>
      <c r="O696" s="515">
        <v>44620</v>
      </c>
      <c r="P696" s="515">
        <v>44620</v>
      </c>
      <c r="Q696" s="516">
        <v>0</v>
      </c>
    </row>
    <row r="697" spans="1:17" ht="16.5">
      <c r="A697" s="9">
        <v>2022</v>
      </c>
      <c r="B697" s="10" t="s">
        <v>748</v>
      </c>
      <c r="C697" s="511" t="s">
        <v>749</v>
      </c>
      <c r="D697" s="512">
        <v>218000</v>
      </c>
      <c r="E697" s="512">
        <v>0</v>
      </c>
      <c r="F697" s="512"/>
      <c r="G697" s="512">
        <v>90000</v>
      </c>
      <c r="H697" s="512">
        <v>9</v>
      </c>
      <c r="I697" s="512"/>
      <c r="J697" s="512" t="s">
        <v>233</v>
      </c>
      <c r="K697" s="512" t="b">
        <v>1</v>
      </c>
      <c r="L697" s="512">
        <v>4</v>
      </c>
      <c r="M697" s="513">
        <v>2026</v>
      </c>
      <c r="N697" s="514">
        <v>0</v>
      </c>
      <c r="O697" s="515">
        <v>44620</v>
      </c>
      <c r="P697" s="515">
        <v>44620</v>
      </c>
      <c r="Q697" s="516">
        <v>0</v>
      </c>
    </row>
    <row r="698" spans="1:17" ht="16.5">
      <c r="A698" s="9">
        <v>2022</v>
      </c>
      <c r="B698" s="10" t="s">
        <v>748</v>
      </c>
      <c r="C698" s="511" t="s">
        <v>749</v>
      </c>
      <c r="D698" s="512">
        <v>218000</v>
      </c>
      <c r="E698" s="512">
        <v>0</v>
      </c>
      <c r="F698" s="512"/>
      <c r="G698" s="512">
        <v>90000</v>
      </c>
      <c r="H698" s="512">
        <v>9</v>
      </c>
      <c r="I698" s="512"/>
      <c r="J698" s="512" t="s">
        <v>233</v>
      </c>
      <c r="K698" s="512" t="b">
        <v>1</v>
      </c>
      <c r="L698" s="512">
        <v>3</v>
      </c>
      <c r="M698" s="513">
        <v>2025</v>
      </c>
      <c r="N698" s="514">
        <v>0</v>
      </c>
      <c r="O698" s="515">
        <v>44620</v>
      </c>
      <c r="P698" s="515">
        <v>44620</v>
      </c>
      <c r="Q698" s="516">
        <v>0</v>
      </c>
    </row>
    <row r="699" spans="1:17" ht="16.5">
      <c r="A699" s="9">
        <v>2022</v>
      </c>
      <c r="B699" s="10" t="s">
        <v>748</v>
      </c>
      <c r="C699" s="511" t="s">
        <v>749</v>
      </c>
      <c r="D699" s="512">
        <v>218000</v>
      </c>
      <c r="E699" s="512">
        <v>0</v>
      </c>
      <c r="F699" s="512"/>
      <c r="G699" s="512">
        <v>90000</v>
      </c>
      <c r="H699" s="512">
        <v>9</v>
      </c>
      <c r="I699" s="512"/>
      <c r="J699" s="512" t="s">
        <v>233</v>
      </c>
      <c r="K699" s="512" t="b">
        <v>1</v>
      </c>
      <c r="L699" s="512">
        <v>11</v>
      </c>
      <c r="M699" s="513">
        <v>2033</v>
      </c>
      <c r="N699" s="514">
        <v>0</v>
      </c>
      <c r="O699" s="515">
        <v>44620</v>
      </c>
      <c r="P699" s="515">
        <v>44620</v>
      </c>
      <c r="Q699" s="516">
        <v>0</v>
      </c>
    </row>
    <row r="700" spans="1:17" ht="16.5">
      <c r="A700" s="9">
        <v>2022</v>
      </c>
      <c r="B700" s="10" t="s">
        <v>748</v>
      </c>
      <c r="C700" s="511" t="s">
        <v>749</v>
      </c>
      <c r="D700" s="512">
        <v>218000</v>
      </c>
      <c r="E700" s="512">
        <v>0</v>
      </c>
      <c r="F700" s="512"/>
      <c r="G700" s="512">
        <v>90000</v>
      </c>
      <c r="H700" s="512">
        <v>9</v>
      </c>
      <c r="I700" s="512"/>
      <c r="J700" s="512" t="s">
        <v>233</v>
      </c>
      <c r="K700" s="512" t="b">
        <v>1</v>
      </c>
      <c r="L700" s="512">
        <v>7</v>
      </c>
      <c r="M700" s="513">
        <v>2029</v>
      </c>
      <c r="N700" s="514">
        <v>0</v>
      </c>
      <c r="O700" s="515">
        <v>44620</v>
      </c>
      <c r="P700" s="515">
        <v>44620</v>
      </c>
      <c r="Q700" s="516">
        <v>0</v>
      </c>
    </row>
    <row r="701" spans="1:17" ht="16.5">
      <c r="A701" s="9">
        <v>2022</v>
      </c>
      <c r="B701" s="10" t="s">
        <v>748</v>
      </c>
      <c r="C701" s="511" t="s">
        <v>749</v>
      </c>
      <c r="D701" s="512">
        <v>218000</v>
      </c>
      <c r="E701" s="512">
        <v>0</v>
      </c>
      <c r="F701" s="512"/>
      <c r="G701" s="512">
        <v>90000</v>
      </c>
      <c r="H701" s="512">
        <v>9</v>
      </c>
      <c r="I701" s="512"/>
      <c r="J701" s="512" t="s">
        <v>233</v>
      </c>
      <c r="K701" s="512" t="b">
        <v>1</v>
      </c>
      <c r="L701" s="512">
        <v>2</v>
      </c>
      <c r="M701" s="513">
        <v>2024</v>
      </c>
      <c r="N701" s="514">
        <v>0</v>
      </c>
      <c r="O701" s="515">
        <v>44620</v>
      </c>
      <c r="P701" s="515">
        <v>44620</v>
      </c>
      <c r="Q701" s="516">
        <v>0</v>
      </c>
    </row>
    <row r="702" spans="1:17" ht="16.5">
      <c r="A702" s="9">
        <v>2022</v>
      </c>
      <c r="B702" s="10" t="s">
        <v>748</v>
      </c>
      <c r="C702" s="511" t="s">
        <v>749</v>
      </c>
      <c r="D702" s="512">
        <v>218000</v>
      </c>
      <c r="E702" s="512">
        <v>0</v>
      </c>
      <c r="F702" s="512"/>
      <c r="G702" s="512">
        <v>90000</v>
      </c>
      <c r="H702" s="512">
        <v>9</v>
      </c>
      <c r="I702" s="512"/>
      <c r="J702" s="512" t="s">
        <v>233</v>
      </c>
      <c r="K702" s="512" t="b">
        <v>1</v>
      </c>
      <c r="L702" s="512">
        <v>5</v>
      </c>
      <c r="M702" s="513">
        <v>2027</v>
      </c>
      <c r="N702" s="514">
        <v>0</v>
      </c>
      <c r="O702" s="515">
        <v>44620</v>
      </c>
      <c r="P702" s="515">
        <v>44620</v>
      </c>
      <c r="Q702" s="516">
        <v>0</v>
      </c>
    </row>
    <row r="703" spans="1:17" ht="16.5">
      <c r="A703" s="9">
        <v>2022</v>
      </c>
      <c r="B703" s="10" t="s">
        <v>748</v>
      </c>
      <c r="C703" s="511" t="s">
        <v>749</v>
      </c>
      <c r="D703" s="512">
        <v>218000</v>
      </c>
      <c r="E703" s="512">
        <v>0</v>
      </c>
      <c r="F703" s="512"/>
      <c r="G703" s="512">
        <v>90000</v>
      </c>
      <c r="H703" s="512">
        <v>9</v>
      </c>
      <c r="I703" s="512"/>
      <c r="J703" s="512" t="s">
        <v>233</v>
      </c>
      <c r="K703" s="512" t="b">
        <v>1</v>
      </c>
      <c r="L703" s="512">
        <v>10</v>
      </c>
      <c r="M703" s="513">
        <v>2032</v>
      </c>
      <c r="N703" s="514">
        <v>0</v>
      </c>
      <c r="O703" s="515">
        <v>44620</v>
      </c>
      <c r="P703" s="515">
        <v>44620</v>
      </c>
      <c r="Q703" s="516">
        <v>0</v>
      </c>
    </row>
    <row r="704" spans="1:17" ht="16.5">
      <c r="A704" s="9">
        <v>2022</v>
      </c>
      <c r="B704" s="10" t="s">
        <v>748</v>
      </c>
      <c r="C704" s="511" t="s">
        <v>749</v>
      </c>
      <c r="D704" s="512">
        <v>218000</v>
      </c>
      <c r="E704" s="512">
        <v>0</v>
      </c>
      <c r="F704" s="512"/>
      <c r="G704" s="512">
        <v>51133</v>
      </c>
      <c r="H704" s="512" t="s">
        <v>276</v>
      </c>
      <c r="I704" s="512"/>
      <c r="J704" s="512" t="s">
        <v>217</v>
      </c>
      <c r="K704" s="512" t="b">
        <v>1</v>
      </c>
      <c r="L704" s="512">
        <v>11</v>
      </c>
      <c r="M704" s="513">
        <v>2033</v>
      </c>
      <c r="N704" s="514">
        <v>0</v>
      </c>
      <c r="O704" s="515">
        <v>44620</v>
      </c>
      <c r="P704" s="515">
        <v>44620</v>
      </c>
      <c r="Q704" s="516">
        <v>0</v>
      </c>
    </row>
    <row r="705" spans="1:17" ht="16.5">
      <c r="A705" s="9">
        <v>2022</v>
      </c>
      <c r="B705" s="10" t="s">
        <v>748</v>
      </c>
      <c r="C705" s="511" t="s">
        <v>749</v>
      </c>
      <c r="D705" s="512">
        <v>218000</v>
      </c>
      <c r="E705" s="512">
        <v>0</v>
      </c>
      <c r="F705" s="512"/>
      <c r="G705" s="512">
        <v>51133</v>
      </c>
      <c r="H705" s="512" t="s">
        <v>276</v>
      </c>
      <c r="I705" s="512"/>
      <c r="J705" s="512" t="s">
        <v>217</v>
      </c>
      <c r="K705" s="512" t="b">
        <v>1</v>
      </c>
      <c r="L705" s="512">
        <v>10</v>
      </c>
      <c r="M705" s="513">
        <v>2032</v>
      </c>
      <c r="N705" s="514">
        <v>0</v>
      </c>
      <c r="O705" s="515">
        <v>44620</v>
      </c>
      <c r="P705" s="515">
        <v>44620</v>
      </c>
      <c r="Q705" s="516">
        <v>0</v>
      </c>
    </row>
    <row r="706" spans="1:17" ht="16.5">
      <c r="A706" s="9">
        <v>2022</v>
      </c>
      <c r="B706" s="10" t="s">
        <v>748</v>
      </c>
      <c r="C706" s="511" t="s">
        <v>749</v>
      </c>
      <c r="D706" s="512">
        <v>218000</v>
      </c>
      <c r="E706" s="512">
        <v>0</v>
      </c>
      <c r="F706" s="512"/>
      <c r="G706" s="512">
        <v>51133</v>
      </c>
      <c r="H706" s="512" t="s">
        <v>276</v>
      </c>
      <c r="I706" s="512"/>
      <c r="J706" s="512" t="s">
        <v>217</v>
      </c>
      <c r="K706" s="512" t="b">
        <v>1</v>
      </c>
      <c r="L706" s="512">
        <v>1</v>
      </c>
      <c r="M706" s="513">
        <v>2023</v>
      </c>
      <c r="N706" s="514">
        <v>0</v>
      </c>
      <c r="O706" s="515">
        <v>44620</v>
      </c>
      <c r="P706" s="515">
        <v>44620</v>
      </c>
      <c r="Q706" s="516">
        <v>0</v>
      </c>
    </row>
    <row r="707" spans="1:17" ht="16.5">
      <c r="A707" s="9">
        <v>2022</v>
      </c>
      <c r="B707" s="10" t="s">
        <v>748</v>
      </c>
      <c r="C707" s="511" t="s">
        <v>749</v>
      </c>
      <c r="D707" s="512">
        <v>218000</v>
      </c>
      <c r="E707" s="512">
        <v>0</v>
      </c>
      <c r="F707" s="512"/>
      <c r="G707" s="512">
        <v>51133</v>
      </c>
      <c r="H707" s="512" t="s">
        <v>276</v>
      </c>
      <c r="I707" s="512"/>
      <c r="J707" s="512" t="s">
        <v>217</v>
      </c>
      <c r="K707" s="512" t="b">
        <v>1</v>
      </c>
      <c r="L707" s="512">
        <v>6</v>
      </c>
      <c r="M707" s="513">
        <v>2028</v>
      </c>
      <c r="N707" s="514">
        <v>0</v>
      </c>
      <c r="O707" s="515">
        <v>44620</v>
      </c>
      <c r="P707" s="515">
        <v>44620</v>
      </c>
      <c r="Q707" s="516">
        <v>0</v>
      </c>
    </row>
    <row r="708" spans="1:17" ht="16.5">
      <c r="A708" s="9">
        <v>2022</v>
      </c>
      <c r="B708" s="10" t="s">
        <v>748</v>
      </c>
      <c r="C708" s="511" t="s">
        <v>749</v>
      </c>
      <c r="D708" s="512">
        <v>218000</v>
      </c>
      <c r="E708" s="512">
        <v>0</v>
      </c>
      <c r="F708" s="512"/>
      <c r="G708" s="512">
        <v>51133</v>
      </c>
      <c r="H708" s="512" t="s">
        <v>276</v>
      </c>
      <c r="I708" s="512"/>
      <c r="J708" s="512" t="s">
        <v>217</v>
      </c>
      <c r="K708" s="512" t="b">
        <v>1</v>
      </c>
      <c r="L708" s="512">
        <v>7</v>
      </c>
      <c r="M708" s="513">
        <v>2029</v>
      </c>
      <c r="N708" s="514">
        <v>0</v>
      </c>
      <c r="O708" s="515">
        <v>44620</v>
      </c>
      <c r="P708" s="515">
        <v>44620</v>
      </c>
      <c r="Q708" s="516">
        <v>0</v>
      </c>
    </row>
    <row r="709" spans="1:17" ht="16.5">
      <c r="A709" s="9">
        <v>2022</v>
      </c>
      <c r="B709" s="10" t="s">
        <v>748</v>
      </c>
      <c r="C709" s="511" t="s">
        <v>749</v>
      </c>
      <c r="D709" s="512">
        <v>218000</v>
      </c>
      <c r="E709" s="512">
        <v>0</v>
      </c>
      <c r="F709" s="512"/>
      <c r="G709" s="512">
        <v>51133</v>
      </c>
      <c r="H709" s="512" t="s">
        <v>276</v>
      </c>
      <c r="I709" s="512"/>
      <c r="J709" s="512" t="s">
        <v>217</v>
      </c>
      <c r="K709" s="512" t="b">
        <v>1</v>
      </c>
      <c r="L709" s="512">
        <v>4</v>
      </c>
      <c r="M709" s="513">
        <v>2026</v>
      </c>
      <c r="N709" s="514">
        <v>0</v>
      </c>
      <c r="O709" s="515">
        <v>44620</v>
      </c>
      <c r="P709" s="515">
        <v>44620</v>
      </c>
      <c r="Q709" s="516">
        <v>0</v>
      </c>
    </row>
    <row r="710" spans="1:17" ht="16.5">
      <c r="A710" s="9">
        <v>2022</v>
      </c>
      <c r="B710" s="10" t="s">
        <v>748</v>
      </c>
      <c r="C710" s="511" t="s">
        <v>749</v>
      </c>
      <c r="D710" s="512">
        <v>218000</v>
      </c>
      <c r="E710" s="512">
        <v>0</v>
      </c>
      <c r="F710" s="512"/>
      <c r="G710" s="512">
        <v>51133</v>
      </c>
      <c r="H710" s="512" t="s">
        <v>276</v>
      </c>
      <c r="I710" s="512"/>
      <c r="J710" s="512" t="s">
        <v>217</v>
      </c>
      <c r="K710" s="512" t="b">
        <v>1</v>
      </c>
      <c r="L710" s="512">
        <v>3</v>
      </c>
      <c r="M710" s="513">
        <v>2025</v>
      </c>
      <c r="N710" s="514">
        <v>0</v>
      </c>
      <c r="O710" s="515">
        <v>44620</v>
      </c>
      <c r="P710" s="515">
        <v>44620</v>
      </c>
      <c r="Q710" s="516">
        <v>0</v>
      </c>
    </row>
    <row r="711" spans="1:17" ht="16.5">
      <c r="A711" s="9">
        <v>2022</v>
      </c>
      <c r="B711" s="10" t="s">
        <v>748</v>
      </c>
      <c r="C711" s="511" t="s">
        <v>749</v>
      </c>
      <c r="D711" s="512">
        <v>218000</v>
      </c>
      <c r="E711" s="512">
        <v>0</v>
      </c>
      <c r="F711" s="512"/>
      <c r="G711" s="512">
        <v>51133</v>
      </c>
      <c r="H711" s="512" t="s">
        <v>276</v>
      </c>
      <c r="I711" s="512"/>
      <c r="J711" s="512" t="s">
        <v>217</v>
      </c>
      <c r="K711" s="512" t="b">
        <v>1</v>
      </c>
      <c r="L711" s="512">
        <v>8</v>
      </c>
      <c r="M711" s="513">
        <v>2030</v>
      </c>
      <c r="N711" s="514">
        <v>0</v>
      </c>
      <c r="O711" s="515">
        <v>44620</v>
      </c>
      <c r="P711" s="515">
        <v>44620</v>
      </c>
      <c r="Q711" s="516">
        <v>0</v>
      </c>
    </row>
    <row r="712" spans="1:17" ht="16.5">
      <c r="A712" s="9">
        <v>2022</v>
      </c>
      <c r="B712" s="10" t="s">
        <v>748</v>
      </c>
      <c r="C712" s="511" t="s">
        <v>749</v>
      </c>
      <c r="D712" s="512">
        <v>218000</v>
      </c>
      <c r="E712" s="512">
        <v>0</v>
      </c>
      <c r="F712" s="512"/>
      <c r="G712" s="512">
        <v>51133</v>
      </c>
      <c r="H712" s="512" t="s">
        <v>276</v>
      </c>
      <c r="I712" s="512"/>
      <c r="J712" s="512" t="s">
        <v>217</v>
      </c>
      <c r="K712" s="512" t="b">
        <v>1</v>
      </c>
      <c r="L712" s="512">
        <v>5</v>
      </c>
      <c r="M712" s="513">
        <v>2027</v>
      </c>
      <c r="N712" s="514">
        <v>0</v>
      </c>
      <c r="O712" s="515">
        <v>44620</v>
      </c>
      <c r="P712" s="515">
        <v>44620</v>
      </c>
      <c r="Q712" s="516">
        <v>0</v>
      </c>
    </row>
    <row r="713" spans="1:17" ht="16.5">
      <c r="A713" s="9">
        <v>2022</v>
      </c>
      <c r="B713" s="10" t="s">
        <v>748</v>
      </c>
      <c r="C713" s="511" t="s">
        <v>749</v>
      </c>
      <c r="D713" s="512">
        <v>218000</v>
      </c>
      <c r="E713" s="512">
        <v>0</v>
      </c>
      <c r="F713" s="512"/>
      <c r="G713" s="512">
        <v>51133</v>
      </c>
      <c r="H713" s="512" t="s">
        <v>276</v>
      </c>
      <c r="I713" s="512"/>
      <c r="J713" s="512" t="s">
        <v>217</v>
      </c>
      <c r="K713" s="512" t="b">
        <v>1</v>
      </c>
      <c r="L713" s="512">
        <v>9</v>
      </c>
      <c r="M713" s="513">
        <v>2031</v>
      </c>
      <c r="N713" s="514">
        <v>0</v>
      </c>
      <c r="O713" s="515">
        <v>44620</v>
      </c>
      <c r="P713" s="515">
        <v>44620</v>
      </c>
      <c r="Q713" s="516">
        <v>0</v>
      </c>
    </row>
    <row r="714" spans="1:17" ht="16.5">
      <c r="A714" s="9">
        <v>2022</v>
      </c>
      <c r="B714" s="10" t="s">
        <v>748</v>
      </c>
      <c r="C714" s="511" t="s">
        <v>749</v>
      </c>
      <c r="D714" s="512">
        <v>218000</v>
      </c>
      <c r="E714" s="512">
        <v>0</v>
      </c>
      <c r="F714" s="512"/>
      <c r="G714" s="512">
        <v>51133</v>
      </c>
      <c r="H714" s="512" t="s">
        <v>276</v>
      </c>
      <c r="I714" s="512"/>
      <c r="J714" s="512" t="s">
        <v>217</v>
      </c>
      <c r="K714" s="512" t="b">
        <v>1</v>
      </c>
      <c r="L714" s="512">
        <v>0</v>
      </c>
      <c r="M714" s="513">
        <v>2022</v>
      </c>
      <c r="N714" s="514">
        <v>0</v>
      </c>
      <c r="O714" s="515">
        <v>44620</v>
      </c>
      <c r="P714" s="515">
        <v>44620</v>
      </c>
      <c r="Q714" s="516">
        <v>0</v>
      </c>
    </row>
    <row r="715" spans="1:17" ht="16.5">
      <c r="A715" s="9">
        <v>2022</v>
      </c>
      <c r="B715" s="10" t="s">
        <v>748</v>
      </c>
      <c r="C715" s="511" t="s">
        <v>749</v>
      </c>
      <c r="D715" s="512">
        <v>218000</v>
      </c>
      <c r="E715" s="512">
        <v>0</v>
      </c>
      <c r="F715" s="512"/>
      <c r="G715" s="512">
        <v>94000</v>
      </c>
      <c r="H715" s="512">
        <v>9.4</v>
      </c>
      <c r="I715" s="512"/>
      <c r="J715" s="512" t="s">
        <v>242</v>
      </c>
      <c r="K715" s="512" t="b">
        <v>1</v>
      </c>
      <c r="L715" s="512">
        <v>1</v>
      </c>
      <c r="M715" s="513">
        <v>2023</v>
      </c>
      <c r="N715" s="514">
        <v>1000000</v>
      </c>
      <c r="O715" s="515">
        <v>44620</v>
      </c>
      <c r="P715" s="515">
        <v>44620</v>
      </c>
      <c r="Q715" s="516">
        <v>0</v>
      </c>
    </row>
    <row r="716" spans="1:17" ht="16.5">
      <c r="A716" s="9">
        <v>2022</v>
      </c>
      <c r="B716" s="10" t="s">
        <v>748</v>
      </c>
      <c r="C716" s="511" t="s">
        <v>749</v>
      </c>
      <c r="D716" s="512">
        <v>218000</v>
      </c>
      <c r="E716" s="512">
        <v>0</v>
      </c>
      <c r="F716" s="512"/>
      <c r="G716" s="512">
        <v>94000</v>
      </c>
      <c r="H716" s="512">
        <v>9.4</v>
      </c>
      <c r="I716" s="512"/>
      <c r="J716" s="512" t="s">
        <v>242</v>
      </c>
      <c r="K716" s="512" t="b">
        <v>1</v>
      </c>
      <c r="L716" s="512">
        <v>9</v>
      </c>
      <c r="M716" s="513">
        <v>2031</v>
      </c>
      <c r="N716" s="514">
        <v>0</v>
      </c>
      <c r="O716" s="515">
        <v>44620</v>
      </c>
      <c r="P716" s="515">
        <v>44620</v>
      </c>
      <c r="Q716" s="516">
        <v>0</v>
      </c>
    </row>
    <row r="717" spans="1:17" ht="16.5">
      <c r="A717" s="9">
        <v>2022</v>
      </c>
      <c r="B717" s="10" t="s">
        <v>748</v>
      </c>
      <c r="C717" s="511" t="s">
        <v>749</v>
      </c>
      <c r="D717" s="512">
        <v>218000</v>
      </c>
      <c r="E717" s="512">
        <v>0</v>
      </c>
      <c r="F717" s="512"/>
      <c r="G717" s="512">
        <v>94000</v>
      </c>
      <c r="H717" s="512">
        <v>9.4</v>
      </c>
      <c r="I717" s="512"/>
      <c r="J717" s="512" t="s">
        <v>242</v>
      </c>
      <c r="K717" s="512" t="b">
        <v>1</v>
      </c>
      <c r="L717" s="512">
        <v>2</v>
      </c>
      <c r="M717" s="513">
        <v>2024</v>
      </c>
      <c r="N717" s="514">
        <v>0</v>
      </c>
      <c r="O717" s="515">
        <v>44620</v>
      </c>
      <c r="P717" s="515">
        <v>44620</v>
      </c>
      <c r="Q717" s="516">
        <v>0</v>
      </c>
    </row>
    <row r="718" spans="1:17" ht="16.5">
      <c r="A718" s="9">
        <v>2022</v>
      </c>
      <c r="B718" s="10" t="s">
        <v>748</v>
      </c>
      <c r="C718" s="511" t="s">
        <v>749</v>
      </c>
      <c r="D718" s="512">
        <v>218000</v>
      </c>
      <c r="E718" s="512">
        <v>0</v>
      </c>
      <c r="F718" s="512"/>
      <c r="G718" s="512">
        <v>94000</v>
      </c>
      <c r="H718" s="512">
        <v>9.4</v>
      </c>
      <c r="I718" s="512"/>
      <c r="J718" s="512" t="s">
        <v>242</v>
      </c>
      <c r="K718" s="512" t="b">
        <v>1</v>
      </c>
      <c r="L718" s="512">
        <v>10</v>
      </c>
      <c r="M718" s="513">
        <v>2032</v>
      </c>
      <c r="N718" s="514">
        <v>0</v>
      </c>
      <c r="O718" s="515">
        <v>44620</v>
      </c>
      <c r="P718" s="515">
        <v>44620</v>
      </c>
      <c r="Q718" s="516">
        <v>0</v>
      </c>
    </row>
    <row r="719" spans="1:17" ht="16.5">
      <c r="A719" s="9">
        <v>2022</v>
      </c>
      <c r="B719" s="10" t="s">
        <v>748</v>
      </c>
      <c r="C719" s="511" t="s">
        <v>749</v>
      </c>
      <c r="D719" s="512">
        <v>218000</v>
      </c>
      <c r="E719" s="512">
        <v>0</v>
      </c>
      <c r="F719" s="512"/>
      <c r="G719" s="512">
        <v>94000</v>
      </c>
      <c r="H719" s="512">
        <v>9.4</v>
      </c>
      <c r="I719" s="512"/>
      <c r="J719" s="512" t="s">
        <v>242</v>
      </c>
      <c r="K719" s="512" t="b">
        <v>1</v>
      </c>
      <c r="L719" s="512">
        <v>3</v>
      </c>
      <c r="M719" s="513">
        <v>2025</v>
      </c>
      <c r="N719" s="514">
        <v>0</v>
      </c>
      <c r="O719" s="515">
        <v>44620</v>
      </c>
      <c r="P719" s="515">
        <v>44620</v>
      </c>
      <c r="Q719" s="516">
        <v>0</v>
      </c>
    </row>
    <row r="720" spans="1:17" ht="16.5">
      <c r="A720" s="9">
        <v>2022</v>
      </c>
      <c r="B720" s="10" t="s">
        <v>748</v>
      </c>
      <c r="C720" s="511" t="s">
        <v>749</v>
      </c>
      <c r="D720" s="512">
        <v>218000</v>
      </c>
      <c r="E720" s="512">
        <v>0</v>
      </c>
      <c r="F720" s="512"/>
      <c r="G720" s="512">
        <v>94000</v>
      </c>
      <c r="H720" s="512">
        <v>9.4</v>
      </c>
      <c r="I720" s="512"/>
      <c r="J720" s="512" t="s">
        <v>242</v>
      </c>
      <c r="K720" s="512" t="b">
        <v>1</v>
      </c>
      <c r="L720" s="512">
        <v>6</v>
      </c>
      <c r="M720" s="513">
        <v>2028</v>
      </c>
      <c r="N720" s="514">
        <v>0</v>
      </c>
      <c r="O720" s="515">
        <v>44620</v>
      </c>
      <c r="P720" s="515">
        <v>44620</v>
      </c>
      <c r="Q720" s="516">
        <v>0</v>
      </c>
    </row>
    <row r="721" spans="1:17" ht="16.5">
      <c r="A721" s="9">
        <v>2022</v>
      </c>
      <c r="B721" s="10" t="s">
        <v>748</v>
      </c>
      <c r="C721" s="511" t="s">
        <v>749</v>
      </c>
      <c r="D721" s="512">
        <v>218000</v>
      </c>
      <c r="E721" s="512">
        <v>0</v>
      </c>
      <c r="F721" s="512"/>
      <c r="G721" s="512">
        <v>94000</v>
      </c>
      <c r="H721" s="512">
        <v>9.4</v>
      </c>
      <c r="I721" s="512"/>
      <c r="J721" s="512" t="s">
        <v>242</v>
      </c>
      <c r="K721" s="512" t="b">
        <v>1</v>
      </c>
      <c r="L721" s="512">
        <v>8</v>
      </c>
      <c r="M721" s="513">
        <v>2030</v>
      </c>
      <c r="N721" s="514">
        <v>0</v>
      </c>
      <c r="O721" s="515">
        <v>44620</v>
      </c>
      <c r="P721" s="515">
        <v>44620</v>
      </c>
      <c r="Q721" s="516">
        <v>0</v>
      </c>
    </row>
    <row r="722" spans="1:17" ht="16.5">
      <c r="A722" s="9">
        <v>2022</v>
      </c>
      <c r="B722" s="10" t="s">
        <v>748</v>
      </c>
      <c r="C722" s="511" t="s">
        <v>749</v>
      </c>
      <c r="D722" s="512">
        <v>218000</v>
      </c>
      <c r="E722" s="512">
        <v>0</v>
      </c>
      <c r="F722" s="512"/>
      <c r="G722" s="512">
        <v>94000</v>
      </c>
      <c r="H722" s="512">
        <v>9.4</v>
      </c>
      <c r="I722" s="512"/>
      <c r="J722" s="512" t="s">
        <v>242</v>
      </c>
      <c r="K722" s="512" t="b">
        <v>1</v>
      </c>
      <c r="L722" s="512">
        <v>0</v>
      </c>
      <c r="M722" s="513">
        <v>2022</v>
      </c>
      <c r="N722" s="514">
        <v>0</v>
      </c>
      <c r="O722" s="515">
        <v>44620</v>
      </c>
      <c r="P722" s="515">
        <v>44620</v>
      </c>
      <c r="Q722" s="516">
        <v>0</v>
      </c>
    </row>
    <row r="723" spans="1:17" ht="16.5">
      <c r="A723" s="9">
        <v>2022</v>
      </c>
      <c r="B723" s="10" t="s">
        <v>748</v>
      </c>
      <c r="C723" s="511" t="s">
        <v>749</v>
      </c>
      <c r="D723" s="512">
        <v>218000</v>
      </c>
      <c r="E723" s="512">
        <v>0</v>
      </c>
      <c r="F723" s="512"/>
      <c r="G723" s="512">
        <v>94000</v>
      </c>
      <c r="H723" s="512">
        <v>9.4</v>
      </c>
      <c r="I723" s="512"/>
      <c r="J723" s="512" t="s">
        <v>242</v>
      </c>
      <c r="K723" s="512" t="b">
        <v>1</v>
      </c>
      <c r="L723" s="512">
        <v>7</v>
      </c>
      <c r="M723" s="513">
        <v>2029</v>
      </c>
      <c r="N723" s="514">
        <v>0</v>
      </c>
      <c r="O723" s="515">
        <v>44620</v>
      </c>
      <c r="P723" s="515">
        <v>44620</v>
      </c>
      <c r="Q723" s="516">
        <v>0</v>
      </c>
    </row>
    <row r="724" spans="1:17" ht="16.5">
      <c r="A724" s="9">
        <v>2022</v>
      </c>
      <c r="B724" s="10" t="s">
        <v>748</v>
      </c>
      <c r="C724" s="511" t="s">
        <v>749</v>
      </c>
      <c r="D724" s="512">
        <v>218000</v>
      </c>
      <c r="E724" s="512">
        <v>0</v>
      </c>
      <c r="F724" s="512"/>
      <c r="G724" s="512">
        <v>94000</v>
      </c>
      <c r="H724" s="512">
        <v>9.4</v>
      </c>
      <c r="I724" s="512"/>
      <c r="J724" s="512" t="s">
        <v>242</v>
      </c>
      <c r="K724" s="512" t="b">
        <v>1</v>
      </c>
      <c r="L724" s="512">
        <v>5</v>
      </c>
      <c r="M724" s="513">
        <v>2027</v>
      </c>
      <c r="N724" s="514">
        <v>0</v>
      </c>
      <c r="O724" s="515">
        <v>44620</v>
      </c>
      <c r="P724" s="515">
        <v>44620</v>
      </c>
      <c r="Q724" s="516">
        <v>0</v>
      </c>
    </row>
    <row r="725" spans="1:17" ht="16.5">
      <c r="A725" s="9">
        <v>2022</v>
      </c>
      <c r="B725" s="10" t="s">
        <v>748</v>
      </c>
      <c r="C725" s="511" t="s">
        <v>749</v>
      </c>
      <c r="D725" s="512">
        <v>218000</v>
      </c>
      <c r="E725" s="512">
        <v>0</v>
      </c>
      <c r="F725" s="512"/>
      <c r="G725" s="512">
        <v>94000</v>
      </c>
      <c r="H725" s="512">
        <v>9.4</v>
      </c>
      <c r="I725" s="512"/>
      <c r="J725" s="512" t="s">
        <v>242</v>
      </c>
      <c r="K725" s="512" t="b">
        <v>1</v>
      </c>
      <c r="L725" s="512">
        <v>4</v>
      </c>
      <c r="M725" s="513">
        <v>2026</v>
      </c>
      <c r="N725" s="514">
        <v>0</v>
      </c>
      <c r="O725" s="515">
        <v>44620</v>
      </c>
      <c r="P725" s="515">
        <v>44620</v>
      </c>
      <c r="Q725" s="516">
        <v>0</v>
      </c>
    </row>
    <row r="726" spans="1:17" ht="16.5">
      <c r="A726" s="9">
        <v>2022</v>
      </c>
      <c r="B726" s="10" t="s">
        <v>748</v>
      </c>
      <c r="C726" s="511" t="s">
        <v>749</v>
      </c>
      <c r="D726" s="512">
        <v>218000</v>
      </c>
      <c r="E726" s="512">
        <v>0</v>
      </c>
      <c r="F726" s="512"/>
      <c r="G726" s="512">
        <v>94000</v>
      </c>
      <c r="H726" s="512">
        <v>9.4</v>
      </c>
      <c r="I726" s="512"/>
      <c r="J726" s="512" t="s">
        <v>242</v>
      </c>
      <c r="K726" s="512" t="b">
        <v>1</v>
      </c>
      <c r="L726" s="512">
        <v>11</v>
      </c>
      <c r="M726" s="513">
        <v>2033</v>
      </c>
      <c r="N726" s="514">
        <v>0</v>
      </c>
      <c r="O726" s="515">
        <v>44620</v>
      </c>
      <c r="P726" s="515">
        <v>44620</v>
      </c>
      <c r="Q726" s="516">
        <v>0</v>
      </c>
    </row>
    <row r="727" spans="1:17" ht="16.5">
      <c r="A727" s="9">
        <v>2022</v>
      </c>
      <c r="B727" s="10" t="s">
        <v>748</v>
      </c>
      <c r="C727" s="511" t="s">
        <v>749</v>
      </c>
      <c r="D727" s="512">
        <v>218000</v>
      </c>
      <c r="E727" s="512">
        <v>0</v>
      </c>
      <c r="F727" s="512"/>
      <c r="G727" s="512">
        <v>107211</v>
      </c>
      <c r="H727" s="512" t="s">
        <v>296</v>
      </c>
      <c r="I727" s="512"/>
      <c r="J727" s="512" t="s">
        <v>257</v>
      </c>
      <c r="K727" s="512" t="b">
        <v>1</v>
      </c>
      <c r="L727" s="512">
        <v>8</v>
      </c>
      <c r="M727" s="513">
        <v>2030</v>
      </c>
      <c r="N727" s="514">
        <v>0</v>
      </c>
      <c r="O727" s="515">
        <v>44620</v>
      </c>
      <c r="P727" s="515">
        <v>44620</v>
      </c>
      <c r="Q727" s="516">
        <v>0</v>
      </c>
    </row>
    <row r="728" spans="1:17" ht="16.5">
      <c r="A728" s="9">
        <v>2022</v>
      </c>
      <c r="B728" s="10" t="s">
        <v>748</v>
      </c>
      <c r="C728" s="511" t="s">
        <v>749</v>
      </c>
      <c r="D728" s="512">
        <v>218000</v>
      </c>
      <c r="E728" s="512">
        <v>0</v>
      </c>
      <c r="F728" s="512"/>
      <c r="G728" s="512">
        <v>107211</v>
      </c>
      <c r="H728" s="512" t="s">
        <v>296</v>
      </c>
      <c r="I728" s="512"/>
      <c r="J728" s="512" t="s">
        <v>257</v>
      </c>
      <c r="K728" s="512" t="b">
        <v>1</v>
      </c>
      <c r="L728" s="512">
        <v>10</v>
      </c>
      <c r="M728" s="513">
        <v>2032</v>
      </c>
      <c r="N728" s="514">
        <v>0</v>
      </c>
      <c r="O728" s="515">
        <v>44620</v>
      </c>
      <c r="P728" s="515">
        <v>44620</v>
      </c>
      <c r="Q728" s="516">
        <v>0</v>
      </c>
    </row>
    <row r="729" spans="1:17" ht="16.5">
      <c r="A729" s="9">
        <v>2022</v>
      </c>
      <c r="B729" s="10" t="s">
        <v>748</v>
      </c>
      <c r="C729" s="511" t="s">
        <v>749</v>
      </c>
      <c r="D729" s="512">
        <v>218000</v>
      </c>
      <c r="E729" s="512">
        <v>0</v>
      </c>
      <c r="F729" s="512"/>
      <c r="G729" s="512">
        <v>107211</v>
      </c>
      <c r="H729" s="512" t="s">
        <v>296</v>
      </c>
      <c r="I729" s="512"/>
      <c r="J729" s="512" t="s">
        <v>257</v>
      </c>
      <c r="K729" s="512" t="b">
        <v>1</v>
      </c>
      <c r="L729" s="512">
        <v>4</v>
      </c>
      <c r="M729" s="513">
        <v>2026</v>
      </c>
      <c r="N729" s="514">
        <v>0</v>
      </c>
      <c r="O729" s="515">
        <v>44620</v>
      </c>
      <c r="P729" s="515">
        <v>44620</v>
      </c>
      <c r="Q729" s="516">
        <v>0</v>
      </c>
    </row>
    <row r="730" spans="1:17" ht="16.5">
      <c r="A730" s="9">
        <v>2022</v>
      </c>
      <c r="B730" s="10" t="s">
        <v>748</v>
      </c>
      <c r="C730" s="511" t="s">
        <v>749</v>
      </c>
      <c r="D730" s="512">
        <v>218000</v>
      </c>
      <c r="E730" s="512">
        <v>0</v>
      </c>
      <c r="F730" s="512"/>
      <c r="G730" s="512">
        <v>107211</v>
      </c>
      <c r="H730" s="512" t="s">
        <v>296</v>
      </c>
      <c r="I730" s="512"/>
      <c r="J730" s="512" t="s">
        <v>257</v>
      </c>
      <c r="K730" s="512" t="b">
        <v>1</v>
      </c>
      <c r="L730" s="512">
        <v>3</v>
      </c>
      <c r="M730" s="513">
        <v>2025</v>
      </c>
      <c r="N730" s="514">
        <v>0</v>
      </c>
      <c r="O730" s="515">
        <v>44620</v>
      </c>
      <c r="P730" s="515">
        <v>44620</v>
      </c>
      <c r="Q730" s="516">
        <v>0</v>
      </c>
    </row>
    <row r="731" spans="1:17" ht="16.5">
      <c r="A731" s="9">
        <v>2022</v>
      </c>
      <c r="B731" s="10" t="s">
        <v>748</v>
      </c>
      <c r="C731" s="511" t="s">
        <v>749</v>
      </c>
      <c r="D731" s="512">
        <v>218000</v>
      </c>
      <c r="E731" s="512">
        <v>0</v>
      </c>
      <c r="F731" s="512"/>
      <c r="G731" s="512">
        <v>107211</v>
      </c>
      <c r="H731" s="512" t="s">
        <v>296</v>
      </c>
      <c r="I731" s="512"/>
      <c r="J731" s="512" t="s">
        <v>257</v>
      </c>
      <c r="K731" s="512" t="b">
        <v>1</v>
      </c>
      <c r="L731" s="512">
        <v>5</v>
      </c>
      <c r="M731" s="513">
        <v>2027</v>
      </c>
      <c r="N731" s="514">
        <v>0</v>
      </c>
      <c r="O731" s="515">
        <v>44620</v>
      </c>
      <c r="P731" s="515">
        <v>44620</v>
      </c>
      <c r="Q731" s="516">
        <v>0</v>
      </c>
    </row>
    <row r="732" spans="1:17" ht="16.5">
      <c r="A732" s="9">
        <v>2022</v>
      </c>
      <c r="B732" s="10" t="s">
        <v>748</v>
      </c>
      <c r="C732" s="511" t="s">
        <v>749</v>
      </c>
      <c r="D732" s="512">
        <v>218000</v>
      </c>
      <c r="E732" s="512">
        <v>0</v>
      </c>
      <c r="F732" s="512"/>
      <c r="G732" s="512">
        <v>107211</v>
      </c>
      <c r="H732" s="512" t="s">
        <v>296</v>
      </c>
      <c r="I732" s="512"/>
      <c r="J732" s="512" t="s">
        <v>257</v>
      </c>
      <c r="K732" s="512" t="b">
        <v>1</v>
      </c>
      <c r="L732" s="512">
        <v>2</v>
      </c>
      <c r="M732" s="513">
        <v>2024</v>
      </c>
      <c r="N732" s="514">
        <v>0</v>
      </c>
      <c r="O732" s="515">
        <v>44620</v>
      </c>
      <c r="P732" s="515">
        <v>44620</v>
      </c>
      <c r="Q732" s="516">
        <v>0</v>
      </c>
    </row>
    <row r="733" spans="1:17" ht="16.5">
      <c r="A733" s="9">
        <v>2022</v>
      </c>
      <c r="B733" s="10" t="s">
        <v>748</v>
      </c>
      <c r="C733" s="511" t="s">
        <v>749</v>
      </c>
      <c r="D733" s="512">
        <v>218000</v>
      </c>
      <c r="E733" s="512">
        <v>0</v>
      </c>
      <c r="F733" s="512"/>
      <c r="G733" s="512">
        <v>107211</v>
      </c>
      <c r="H733" s="512" t="s">
        <v>296</v>
      </c>
      <c r="I733" s="512"/>
      <c r="J733" s="512" t="s">
        <v>257</v>
      </c>
      <c r="K733" s="512" t="b">
        <v>1</v>
      </c>
      <c r="L733" s="512">
        <v>1</v>
      </c>
      <c r="M733" s="513">
        <v>2023</v>
      </c>
      <c r="N733" s="514">
        <v>0</v>
      </c>
      <c r="O733" s="515">
        <v>44620</v>
      </c>
      <c r="P733" s="515">
        <v>44620</v>
      </c>
      <c r="Q733" s="516">
        <v>0</v>
      </c>
    </row>
    <row r="734" spans="1:17" ht="16.5">
      <c r="A734" s="9">
        <v>2022</v>
      </c>
      <c r="B734" s="10" t="s">
        <v>748</v>
      </c>
      <c r="C734" s="511" t="s">
        <v>749</v>
      </c>
      <c r="D734" s="512">
        <v>218000</v>
      </c>
      <c r="E734" s="512">
        <v>0</v>
      </c>
      <c r="F734" s="512"/>
      <c r="G734" s="512">
        <v>107211</v>
      </c>
      <c r="H734" s="512" t="s">
        <v>296</v>
      </c>
      <c r="I734" s="512"/>
      <c r="J734" s="512" t="s">
        <v>257</v>
      </c>
      <c r="K734" s="512" t="b">
        <v>1</v>
      </c>
      <c r="L734" s="512">
        <v>6</v>
      </c>
      <c r="M734" s="513">
        <v>2028</v>
      </c>
      <c r="N734" s="514">
        <v>0</v>
      </c>
      <c r="O734" s="515">
        <v>44620</v>
      </c>
      <c r="P734" s="515">
        <v>44620</v>
      </c>
      <c r="Q734" s="516">
        <v>0</v>
      </c>
    </row>
    <row r="735" spans="1:17" ht="16.5">
      <c r="A735" s="9">
        <v>2022</v>
      </c>
      <c r="B735" s="10" t="s">
        <v>748</v>
      </c>
      <c r="C735" s="511" t="s">
        <v>749</v>
      </c>
      <c r="D735" s="512">
        <v>218000</v>
      </c>
      <c r="E735" s="512">
        <v>0</v>
      </c>
      <c r="F735" s="512"/>
      <c r="G735" s="512">
        <v>107211</v>
      </c>
      <c r="H735" s="512" t="s">
        <v>296</v>
      </c>
      <c r="I735" s="512"/>
      <c r="J735" s="512" t="s">
        <v>257</v>
      </c>
      <c r="K735" s="512" t="b">
        <v>1</v>
      </c>
      <c r="L735" s="512">
        <v>7</v>
      </c>
      <c r="M735" s="513">
        <v>2029</v>
      </c>
      <c r="N735" s="514">
        <v>0</v>
      </c>
      <c r="O735" s="515">
        <v>44620</v>
      </c>
      <c r="P735" s="515">
        <v>44620</v>
      </c>
      <c r="Q735" s="516">
        <v>0</v>
      </c>
    </row>
    <row r="736" spans="1:17" ht="16.5">
      <c r="A736" s="9">
        <v>2022</v>
      </c>
      <c r="B736" s="10" t="s">
        <v>748</v>
      </c>
      <c r="C736" s="511" t="s">
        <v>749</v>
      </c>
      <c r="D736" s="512">
        <v>218000</v>
      </c>
      <c r="E736" s="512">
        <v>0</v>
      </c>
      <c r="F736" s="512"/>
      <c r="G736" s="512">
        <v>107211</v>
      </c>
      <c r="H736" s="512" t="s">
        <v>296</v>
      </c>
      <c r="I736" s="512"/>
      <c r="J736" s="512" t="s">
        <v>257</v>
      </c>
      <c r="K736" s="512" t="b">
        <v>1</v>
      </c>
      <c r="L736" s="512">
        <v>9</v>
      </c>
      <c r="M736" s="513">
        <v>2031</v>
      </c>
      <c r="N736" s="514">
        <v>0</v>
      </c>
      <c r="O736" s="515">
        <v>44620</v>
      </c>
      <c r="P736" s="515">
        <v>44620</v>
      </c>
      <c r="Q736" s="516">
        <v>0</v>
      </c>
    </row>
    <row r="737" spans="1:17" ht="16.5">
      <c r="A737" s="9">
        <v>2022</v>
      </c>
      <c r="B737" s="10" t="s">
        <v>748</v>
      </c>
      <c r="C737" s="511" t="s">
        <v>749</v>
      </c>
      <c r="D737" s="512">
        <v>218000</v>
      </c>
      <c r="E737" s="512">
        <v>0</v>
      </c>
      <c r="F737" s="512"/>
      <c r="G737" s="512">
        <v>107211</v>
      </c>
      <c r="H737" s="512" t="s">
        <v>296</v>
      </c>
      <c r="I737" s="512"/>
      <c r="J737" s="512" t="s">
        <v>257</v>
      </c>
      <c r="K737" s="512" t="b">
        <v>1</v>
      </c>
      <c r="L737" s="512">
        <v>0</v>
      </c>
      <c r="M737" s="513">
        <v>2022</v>
      </c>
      <c r="N737" s="514">
        <v>0</v>
      </c>
      <c r="O737" s="515">
        <v>44620</v>
      </c>
      <c r="P737" s="515">
        <v>44620</v>
      </c>
      <c r="Q737" s="516">
        <v>0</v>
      </c>
    </row>
    <row r="738" spans="1:17" ht="16.5">
      <c r="A738" s="9">
        <v>2022</v>
      </c>
      <c r="B738" s="10" t="s">
        <v>748</v>
      </c>
      <c r="C738" s="511" t="s">
        <v>749</v>
      </c>
      <c r="D738" s="512">
        <v>218000</v>
      </c>
      <c r="E738" s="512">
        <v>0</v>
      </c>
      <c r="F738" s="512"/>
      <c r="G738" s="512">
        <v>107211</v>
      </c>
      <c r="H738" s="512" t="s">
        <v>296</v>
      </c>
      <c r="I738" s="512"/>
      <c r="J738" s="512" t="s">
        <v>257</v>
      </c>
      <c r="K738" s="512" t="b">
        <v>1</v>
      </c>
      <c r="L738" s="512">
        <v>11</v>
      </c>
      <c r="M738" s="513">
        <v>2033</v>
      </c>
      <c r="N738" s="514">
        <v>0</v>
      </c>
      <c r="O738" s="515">
        <v>44620</v>
      </c>
      <c r="P738" s="515">
        <v>44620</v>
      </c>
      <c r="Q738" s="516">
        <v>0</v>
      </c>
    </row>
    <row r="739" spans="1:17" ht="16.5">
      <c r="A739" s="9">
        <v>2022</v>
      </c>
      <c r="B739" s="10" t="s">
        <v>748</v>
      </c>
      <c r="C739" s="511" t="s">
        <v>749</v>
      </c>
      <c r="D739" s="512">
        <v>218000</v>
      </c>
      <c r="E739" s="512">
        <v>0</v>
      </c>
      <c r="F739" s="512"/>
      <c r="G739" s="512">
        <v>51120</v>
      </c>
      <c r="H739" s="512" t="s">
        <v>168</v>
      </c>
      <c r="I739" s="512"/>
      <c r="J739" s="512" t="s">
        <v>213</v>
      </c>
      <c r="K739" s="512" t="b">
        <v>1</v>
      </c>
      <c r="L739" s="512">
        <v>5</v>
      </c>
      <c r="M739" s="513">
        <v>2027</v>
      </c>
      <c r="N739" s="514">
        <v>0</v>
      </c>
      <c r="O739" s="515">
        <v>44620</v>
      </c>
      <c r="P739" s="515">
        <v>44620</v>
      </c>
      <c r="Q739" s="516">
        <v>0</v>
      </c>
    </row>
    <row r="740" spans="1:17" ht="16.5">
      <c r="A740" s="9">
        <v>2022</v>
      </c>
      <c r="B740" s="10" t="s">
        <v>748</v>
      </c>
      <c r="C740" s="511" t="s">
        <v>749</v>
      </c>
      <c r="D740" s="512">
        <v>218000</v>
      </c>
      <c r="E740" s="512">
        <v>0</v>
      </c>
      <c r="F740" s="512"/>
      <c r="G740" s="512">
        <v>51120</v>
      </c>
      <c r="H740" s="512" t="s">
        <v>168</v>
      </c>
      <c r="I740" s="512"/>
      <c r="J740" s="512" t="s">
        <v>213</v>
      </c>
      <c r="K740" s="512" t="b">
        <v>1</v>
      </c>
      <c r="L740" s="512">
        <v>4</v>
      </c>
      <c r="M740" s="513">
        <v>2026</v>
      </c>
      <c r="N740" s="514">
        <v>0</v>
      </c>
      <c r="O740" s="515">
        <v>44620</v>
      </c>
      <c r="P740" s="515">
        <v>44620</v>
      </c>
      <c r="Q740" s="516">
        <v>0</v>
      </c>
    </row>
    <row r="741" spans="1:17" ht="16.5">
      <c r="A741" s="9">
        <v>2022</v>
      </c>
      <c r="B741" s="10" t="s">
        <v>748</v>
      </c>
      <c r="C741" s="511" t="s">
        <v>749</v>
      </c>
      <c r="D741" s="512">
        <v>218000</v>
      </c>
      <c r="E741" s="512">
        <v>0</v>
      </c>
      <c r="F741" s="512"/>
      <c r="G741" s="512">
        <v>51120</v>
      </c>
      <c r="H741" s="512" t="s">
        <v>168</v>
      </c>
      <c r="I741" s="512"/>
      <c r="J741" s="512" t="s">
        <v>213</v>
      </c>
      <c r="K741" s="512" t="b">
        <v>1</v>
      </c>
      <c r="L741" s="512">
        <v>6</v>
      </c>
      <c r="M741" s="513">
        <v>2028</v>
      </c>
      <c r="N741" s="514">
        <v>0</v>
      </c>
      <c r="O741" s="515">
        <v>44620</v>
      </c>
      <c r="P741" s="515">
        <v>44620</v>
      </c>
      <c r="Q741" s="516">
        <v>0</v>
      </c>
    </row>
    <row r="742" spans="1:17" ht="16.5">
      <c r="A742" s="9">
        <v>2022</v>
      </c>
      <c r="B742" s="10" t="s">
        <v>748</v>
      </c>
      <c r="C742" s="511" t="s">
        <v>749</v>
      </c>
      <c r="D742" s="512">
        <v>218000</v>
      </c>
      <c r="E742" s="512">
        <v>0</v>
      </c>
      <c r="F742" s="512"/>
      <c r="G742" s="512">
        <v>51120</v>
      </c>
      <c r="H742" s="512" t="s">
        <v>168</v>
      </c>
      <c r="I742" s="512"/>
      <c r="J742" s="512" t="s">
        <v>213</v>
      </c>
      <c r="K742" s="512" t="b">
        <v>1</v>
      </c>
      <c r="L742" s="512">
        <v>2</v>
      </c>
      <c r="M742" s="513">
        <v>2024</v>
      </c>
      <c r="N742" s="514">
        <v>0</v>
      </c>
      <c r="O742" s="515">
        <v>44620</v>
      </c>
      <c r="P742" s="515">
        <v>44620</v>
      </c>
      <c r="Q742" s="516">
        <v>0</v>
      </c>
    </row>
    <row r="743" spans="1:17" ht="16.5">
      <c r="A743" s="9">
        <v>2022</v>
      </c>
      <c r="B743" s="10" t="s">
        <v>748</v>
      </c>
      <c r="C743" s="511" t="s">
        <v>749</v>
      </c>
      <c r="D743" s="512">
        <v>218000</v>
      </c>
      <c r="E743" s="512">
        <v>0</v>
      </c>
      <c r="F743" s="512"/>
      <c r="G743" s="512">
        <v>51120</v>
      </c>
      <c r="H743" s="512" t="s">
        <v>168</v>
      </c>
      <c r="I743" s="512"/>
      <c r="J743" s="512" t="s">
        <v>213</v>
      </c>
      <c r="K743" s="512" t="b">
        <v>1</v>
      </c>
      <c r="L743" s="512">
        <v>10</v>
      </c>
      <c r="M743" s="513">
        <v>2032</v>
      </c>
      <c r="N743" s="514">
        <v>0</v>
      </c>
      <c r="O743" s="515">
        <v>44620</v>
      </c>
      <c r="P743" s="515">
        <v>44620</v>
      </c>
      <c r="Q743" s="516">
        <v>0</v>
      </c>
    </row>
    <row r="744" spans="1:17" ht="16.5">
      <c r="A744" s="9">
        <v>2022</v>
      </c>
      <c r="B744" s="10" t="s">
        <v>748</v>
      </c>
      <c r="C744" s="511" t="s">
        <v>749</v>
      </c>
      <c r="D744" s="512">
        <v>218000</v>
      </c>
      <c r="E744" s="512">
        <v>0</v>
      </c>
      <c r="F744" s="512"/>
      <c r="G744" s="512">
        <v>51120</v>
      </c>
      <c r="H744" s="512" t="s">
        <v>168</v>
      </c>
      <c r="I744" s="512"/>
      <c r="J744" s="512" t="s">
        <v>213</v>
      </c>
      <c r="K744" s="512" t="b">
        <v>1</v>
      </c>
      <c r="L744" s="512">
        <v>8</v>
      </c>
      <c r="M744" s="513">
        <v>2030</v>
      </c>
      <c r="N744" s="514">
        <v>0</v>
      </c>
      <c r="O744" s="515">
        <v>44620</v>
      </c>
      <c r="P744" s="515">
        <v>44620</v>
      </c>
      <c r="Q744" s="516">
        <v>0</v>
      </c>
    </row>
    <row r="745" spans="1:17" ht="16.5">
      <c r="A745" s="9">
        <v>2022</v>
      </c>
      <c r="B745" s="10" t="s">
        <v>748</v>
      </c>
      <c r="C745" s="511" t="s">
        <v>749</v>
      </c>
      <c r="D745" s="512">
        <v>218000</v>
      </c>
      <c r="E745" s="512">
        <v>0</v>
      </c>
      <c r="F745" s="512"/>
      <c r="G745" s="512">
        <v>51120</v>
      </c>
      <c r="H745" s="512" t="s">
        <v>168</v>
      </c>
      <c r="I745" s="512"/>
      <c r="J745" s="512" t="s">
        <v>213</v>
      </c>
      <c r="K745" s="512" t="b">
        <v>1</v>
      </c>
      <c r="L745" s="512">
        <v>3</v>
      </c>
      <c r="M745" s="513">
        <v>2025</v>
      </c>
      <c r="N745" s="514">
        <v>0</v>
      </c>
      <c r="O745" s="515">
        <v>44620</v>
      </c>
      <c r="P745" s="515">
        <v>44620</v>
      </c>
      <c r="Q745" s="516">
        <v>0</v>
      </c>
    </row>
    <row r="746" spans="1:17" ht="16.5">
      <c r="A746" s="9">
        <v>2022</v>
      </c>
      <c r="B746" s="10" t="s">
        <v>748</v>
      </c>
      <c r="C746" s="511" t="s">
        <v>749</v>
      </c>
      <c r="D746" s="512">
        <v>218000</v>
      </c>
      <c r="E746" s="512">
        <v>0</v>
      </c>
      <c r="F746" s="512"/>
      <c r="G746" s="512">
        <v>51120</v>
      </c>
      <c r="H746" s="512" t="s">
        <v>168</v>
      </c>
      <c r="I746" s="512"/>
      <c r="J746" s="512" t="s">
        <v>213</v>
      </c>
      <c r="K746" s="512" t="b">
        <v>1</v>
      </c>
      <c r="L746" s="512">
        <v>7</v>
      </c>
      <c r="M746" s="513">
        <v>2029</v>
      </c>
      <c r="N746" s="514">
        <v>0</v>
      </c>
      <c r="O746" s="515">
        <v>44620</v>
      </c>
      <c r="P746" s="515">
        <v>44620</v>
      </c>
      <c r="Q746" s="516">
        <v>0</v>
      </c>
    </row>
    <row r="747" spans="1:17" ht="16.5">
      <c r="A747" s="9">
        <v>2022</v>
      </c>
      <c r="B747" s="10" t="s">
        <v>748</v>
      </c>
      <c r="C747" s="511" t="s">
        <v>749</v>
      </c>
      <c r="D747" s="512">
        <v>218000</v>
      </c>
      <c r="E747" s="512">
        <v>0</v>
      </c>
      <c r="F747" s="512"/>
      <c r="G747" s="512">
        <v>51120</v>
      </c>
      <c r="H747" s="512" t="s">
        <v>168</v>
      </c>
      <c r="I747" s="512"/>
      <c r="J747" s="512" t="s">
        <v>213</v>
      </c>
      <c r="K747" s="512" t="b">
        <v>1</v>
      </c>
      <c r="L747" s="512">
        <v>1</v>
      </c>
      <c r="M747" s="513">
        <v>2023</v>
      </c>
      <c r="N747" s="514">
        <v>0</v>
      </c>
      <c r="O747" s="515">
        <v>44620</v>
      </c>
      <c r="P747" s="515">
        <v>44620</v>
      </c>
      <c r="Q747" s="516">
        <v>0</v>
      </c>
    </row>
    <row r="748" spans="1:17" ht="16.5">
      <c r="A748" s="9">
        <v>2022</v>
      </c>
      <c r="B748" s="10" t="s">
        <v>748</v>
      </c>
      <c r="C748" s="511" t="s">
        <v>749</v>
      </c>
      <c r="D748" s="512">
        <v>218000</v>
      </c>
      <c r="E748" s="512">
        <v>0</v>
      </c>
      <c r="F748" s="512"/>
      <c r="G748" s="512">
        <v>51120</v>
      </c>
      <c r="H748" s="512" t="s">
        <v>168</v>
      </c>
      <c r="I748" s="512"/>
      <c r="J748" s="512" t="s">
        <v>213</v>
      </c>
      <c r="K748" s="512" t="b">
        <v>1</v>
      </c>
      <c r="L748" s="512">
        <v>9</v>
      </c>
      <c r="M748" s="513">
        <v>2031</v>
      </c>
      <c r="N748" s="514">
        <v>0</v>
      </c>
      <c r="O748" s="515">
        <v>44620</v>
      </c>
      <c r="P748" s="515">
        <v>44620</v>
      </c>
      <c r="Q748" s="516">
        <v>0</v>
      </c>
    </row>
    <row r="749" spans="1:17" ht="16.5">
      <c r="A749" s="9">
        <v>2022</v>
      </c>
      <c r="B749" s="10" t="s">
        <v>748</v>
      </c>
      <c r="C749" s="511" t="s">
        <v>749</v>
      </c>
      <c r="D749" s="512">
        <v>218000</v>
      </c>
      <c r="E749" s="512">
        <v>0</v>
      </c>
      <c r="F749" s="512"/>
      <c r="G749" s="512">
        <v>51120</v>
      </c>
      <c r="H749" s="512" t="s">
        <v>168</v>
      </c>
      <c r="I749" s="512"/>
      <c r="J749" s="512" t="s">
        <v>213</v>
      </c>
      <c r="K749" s="512" t="b">
        <v>1</v>
      </c>
      <c r="L749" s="512">
        <v>11</v>
      </c>
      <c r="M749" s="513">
        <v>2033</v>
      </c>
      <c r="N749" s="514">
        <v>0</v>
      </c>
      <c r="O749" s="515">
        <v>44620</v>
      </c>
      <c r="P749" s="515">
        <v>44620</v>
      </c>
      <c r="Q749" s="516">
        <v>0</v>
      </c>
    </row>
    <row r="750" spans="1:17" ht="16.5">
      <c r="A750" s="9">
        <v>2022</v>
      </c>
      <c r="B750" s="10" t="s">
        <v>748</v>
      </c>
      <c r="C750" s="511" t="s">
        <v>749</v>
      </c>
      <c r="D750" s="512">
        <v>218000</v>
      </c>
      <c r="E750" s="512">
        <v>0</v>
      </c>
      <c r="F750" s="512"/>
      <c r="G750" s="512">
        <v>51120</v>
      </c>
      <c r="H750" s="512" t="s">
        <v>168</v>
      </c>
      <c r="I750" s="512"/>
      <c r="J750" s="512" t="s">
        <v>213</v>
      </c>
      <c r="K750" s="512" t="b">
        <v>1</v>
      </c>
      <c r="L750" s="512">
        <v>0</v>
      </c>
      <c r="M750" s="513">
        <v>2022</v>
      </c>
      <c r="N750" s="514">
        <v>0</v>
      </c>
      <c r="O750" s="515">
        <v>44620</v>
      </c>
      <c r="P750" s="515">
        <v>44620</v>
      </c>
      <c r="Q750" s="516">
        <v>0</v>
      </c>
    </row>
    <row r="751" spans="1:17" ht="16.5">
      <c r="A751" s="9">
        <v>2022</v>
      </c>
      <c r="B751" s="10" t="s">
        <v>748</v>
      </c>
      <c r="C751" s="511" t="s">
        <v>749</v>
      </c>
      <c r="D751" s="512">
        <v>218000</v>
      </c>
      <c r="E751" s="512">
        <v>0</v>
      </c>
      <c r="F751" s="512"/>
      <c r="G751" s="512">
        <v>42100</v>
      </c>
      <c r="H751" s="512" t="s">
        <v>44</v>
      </c>
      <c r="I751" s="512"/>
      <c r="J751" s="512" t="s">
        <v>206</v>
      </c>
      <c r="K751" s="512" t="b">
        <v>0</v>
      </c>
      <c r="L751" s="512">
        <v>6</v>
      </c>
      <c r="M751" s="513">
        <v>2028</v>
      </c>
      <c r="N751" s="514">
        <v>0</v>
      </c>
      <c r="O751" s="515">
        <v>44620</v>
      </c>
      <c r="P751" s="515">
        <v>44620</v>
      </c>
      <c r="Q751" s="516">
        <v>0</v>
      </c>
    </row>
    <row r="752" spans="1:17" ht="16.5">
      <c r="A752" s="9">
        <v>2022</v>
      </c>
      <c r="B752" s="10" t="s">
        <v>748</v>
      </c>
      <c r="C752" s="511" t="s">
        <v>749</v>
      </c>
      <c r="D752" s="512">
        <v>218000</v>
      </c>
      <c r="E752" s="512">
        <v>0</v>
      </c>
      <c r="F752" s="512"/>
      <c r="G752" s="512">
        <v>42100</v>
      </c>
      <c r="H752" s="512" t="s">
        <v>44</v>
      </c>
      <c r="I752" s="512"/>
      <c r="J752" s="512" t="s">
        <v>206</v>
      </c>
      <c r="K752" s="512" t="b">
        <v>0</v>
      </c>
      <c r="L752" s="512">
        <v>7</v>
      </c>
      <c r="M752" s="513">
        <v>2029</v>
      </c>
      <c r="N752" s="514">
        <v>0</v>
      </c>
      <c r="O752" s="515">
        <v>44620</v>
      </c>
      <c r="P752" s="515">
        <v>44620</v>
      </c>
      <c r="Q752" s="516">
        <v>0</v>
      </c>
    </row>
    <row r="753" spans="1:17" ht="16.5">
      <c r="A753" s="9">
        <v>2022</v>
      </c>
      <c r="B753" s="10" t="s">
        <v>748</v>
      </c>
      <c r="C753" s="511" t="s">
        <v>749</v>
      </c>
      <c r="D753" s="512">
        <v>218000</v>
      </c>
      <c r="E753" s="512">
        <v>0</v>
      </c>
      <c r="F753" s="512"/>
      <c r="G753" s="512">
        <v>42100</v>
      </c>
      <c r="H753" s="512" t="s">
        <v>44</v>
      </c>
      <c r="I753" s="512"/>
      <c r="J753" s="512" t="s">
        <v>206</v>
      </c>
      <c r="K753" s="512" t="b">
        <v>0</v>
      </c>
      <c r="L753" s="512">
        <v>2</v>
      </c>
      <c r="M753" s="513">
        <v>2024</v>
      </c>
      <c r="N753" s="514">
        <v>0</v>
      </c>
      <c r="O753" s="515">
        <v>44620</v>
      </c>
      <c r="P753" s="515">
        <v>44620</v>
      </c>
      <c r="Q753" s="516">
        <v>0</v>
      </c>
    </row>
    <row r="754" spans="1:17" ht="16.5">
      <c r="A754" s="9">
        <v>2022</v>
      </c>
      <c r="B754" s="10" t="s">
        <v>748</v>
      </c>
      <c r="C754" s="511" t="s">
        <v>749</v>
      </c>
      <c r="D754" s="512">
        <v>218000</v>
      </c>
      <c r="E754" s="512">
        <v>0</v>
      </c>
      <c r="F754" s="512"/>
      <c r="G754" s="512">
        <v>42100</v>
      </c>
      <c r="H754" s="512" t="s">
        <v>44</v>
      </c>
      <c r="I754" s="512"/>
      <c r="J754" s="512" t="s">
        <v>206</v>
      </c>
      <c r="K754" s="512" t="b">
        <v>0</v>
      </c>
      <c r="L754" s="512">
        <v>8</v>
      </c>
      <c r="M754" s="513">
        <v>2030</v>
      </c>
      <c r="N754" s="514">
        <v>0</v>
      </c>
      <c r="O754" s="515">
        <v>44620</v>
      </c>
      <c r="P754" s="515">
        <v>44620</v>
      </c>
      <c r="Q754" s="516">
        <v>0</v>
      </c>
    </row>
    <row r="755" spans="1:17" ht="16.5">
      <c r="A755" s="9">
        <v>2022</v>
      </c>
      <c r="B755" s="10" t="s">
        <v>748</v>
      </c>
      <c r="C755" s="511" t="s">
        <v>749</v>
      </c>
      <c r="D755" s="512">
        <v>218000</v>
      </c>
      <c r="E755" s="512">
        <v>0</v>
      </c>
      <c r="F755" s="512"/>
      <c r="G755" s="512">
        <v>42100</v>
      </c>
      <c r="H755" s="512" t="s">
        <v>44</v>
      </c>
      <c r="I755" s="512"/>
      <c r="J755" s="512" t="s">
        <v>206</v>
      </c>
      <c r="K755" s="512" t="b">
        <v>0</v>
      </c>
      <c r="L755" s="512">
        <v>5</v>
      </c>
      <c r="M755" s="513">
        <v>2027</v>
      </c>
      <c r="N755" s="514">
        <v>0</v>
      </c>
      <c r="O755" s="515">
        <v>44620</v>
      </c>
      <c r="P755" s="515">
        <v>44620</v>
      </c>
      <c r="Q755" s="516">
        <v>0</v>
      </c>
    </row>
    <row r="756" spans="1:17" ht="16.5">
      <c r="A756" s="9">
        <v>2022</v>
      </c>
      <c r="B756" s="10" t="s">
        <v>748</v>
      </c>
      <c r="C756" s="511" t="s">
        <v>749</v>
      </c>
      <c r="D756" s="512">
        <v>218000</v>
      </c>
      <c r="E756" s="512">
        <v>0</v>
      </c>
      <c r="F756" s="512"/>
      <c r="G756" s="512">
        <v>42100</v>
      </c>
      <c r="H756" s="512" t="s">
        <v>44</v>
      </c>
      <c r="I756" s="512"/>
      <c r="J756" s="512" t="s">
        <v>206</v>
      </c>
      <c r="K756" s="512" t="b">
        <v>0</v>
      </c>
      <c r="L756" s="512">
        <v>3</v>
      </c>
      <c r="M756" s="513">
        <v>2025</v>
      </c>
      <c r="N756" s="514">
        <v>0</v>
      </c>
      <c r="O756" s="515">
        <v>44620</v>
      </c>
      <c r="P756" s="515">
        <v>44620</v>
      </c>
      <c r="Q756" s="516">
        <v>0</v>
      </c>
    </row>
    <row r="757" spans="1:17" ht="16.5">
      <c r="A757" s="9">
        <v>2022</v>
      </c>
      <c r="B757" s="10" t="s">
        <v>748</v>
      </c>
      <c r="C757" s="511" t="s">
        <v>749</v>
      </c>
      <c r="D757" s="512">
        <v>218000</v>
      </c>
      <c r="E757" s="512">
        <v>0</v>
      </c>
      <c r="F757" s="512"/>
      <c r="G757" s="512">
        <v>42100</v>
      </c>
      <c r="H757" s="512" t="s">
        <v>44</v>
      </c>
      <c r="I757" s="512"/>
      <c r="J757" s="512" t="s">
        <v>206</v>
      </c>
      <c r="K757" s="512" t="b">
        <v>0</v>
      </c>
      <c r="L757" s="512">
        <v>0</v>
      </c>
      <c r="M757" s="513">
        <v>2022</v>
      </c>
      <c r="N757" s="514">
        <v>410548</v>
      </c>
      <c r="O757" s="515">
        <v>44620</v>
      </c>
      <c r="P757" s="515">
        <v>44620</v>
      </c>
      <c r="Q757" s="516">
        <v>0</v>
      </c>
    </row>
    <row r="758" spans="1:17" ht="16.5">
      <c r="A758" s="9">
        <v>2022</v>
      </c>
      <c r="B758" s="10" t="s">
        <v>748</v>
      </c>
      <c r="C758" s="511" t="s">
        <v>749</v>
      </c>
      <c r="D758" s="512">
        <v>218000</v>
      </c>
      <c r="E758" s="512">
        <v>0</v>
      </c>
      <c r="F758" s="512"/>
      <c r="G758" s="512">
        <v>42100</v>
      </c>
      <c r="H758" s="512" t="s">
        <v>44</v>
      </c>
      <c r="I758" s="512"/>
      <c r="J758" s="512" t="s">
        <v>206</v>
      </c>
      <c r="K758" s="512" t="b">
        <v>0</v>
      </c>
      <c r="L758" s="512">
        <v>4</v>
      </c>
      <c r="M758" s="513">
        <v>2026</v>
      </c>
      <c r="N758" s="514">
        <v>0</v>
      </c>
      <c r="O758" s="515">
        <v>44620</v>
      </c>
      <c r="P758" s="515">
        <v>44620</v>
      </c>
      <c r="Q758" s="516">
        <v>0</v>
      </c>
    </row>
    <row r="759" spans="1:17" ht="16.5">
      <c r="A759" s="9">
        <v>2022</v>
      </c>
      <c r="B759" s="10" t="s">
        <v>748</v>
      </c>
      <c r="C759" s="511" t="s">
        <v>749</v>
      </c>
      <c r="D759" s="512">
        <v>218000</v>
      </c>
      <c r="E759" s="512">
        <v>0</v>
      </c>
      <c r="F759" s="512"/>
      <c r="G759" s="512">
        <v>42100</v>
      </c>
      <c r="H759" s="512" t="s">
        <v>44</v>
      </c>
      <c r="I759" s="512"/>
      <c r="J759" s="512" t="s">
        <v>206</v>
      </c>
      <c r="K759" s="512" t="b">
        <v>0</v>
      </c>
      <c r="L759" s="512">
        <v>9</v>
      </c>
      <c r="M759" s="513">
        <v>2031</v>
      </c>
      <c r="N759" s="514">
        <v>0</v>
      </c>
      <c r="O759" s="515">
        <v>44620</v>
      </c>
      <c r="P759" s="515">
        <v>44620</v>
      </c>
      <c r="Q759" s="516">
        <v>0</v>
      </c>
    </row>
    <row r="760" spans="1:17" ht="16.5">
      <c r="A760" s="9">
        <v>2022</v>
      </c>
      <c r="B760" s="10" t="s">
        <v>748</v>
      </c>
      <c r="C760" s="511" t="s">
        <v>749</v>
      </c>
      <c r="D760" s="512">
        <v>218000</v>
      </c>
      <c r="E760" s="512">
        <v>0</v>
      </c>
      <c r="F760" s="512"/>
      <c r="G760" s="512">
        <v>42100</v>
      </c>
      <c r="H760" s="512" t="s">
        <v>44</v>
      </c>
      <c r="I760" s="512"/>
      <c r="J760" s="512" t="s">
        <v>206</v>
      </c>
      <c r="K760" s="512" t="b">
        <v>0</v>
      </c>
      <c r="L760" s="512">
        <v>10</v>
      </c>
      <c r="M760" s="513">
        <v>2032</v>
      </c>
      <c r="N760" s="514">
        <v>0</v>
      </c>
      <c r="O760" s="515">
        <v>44620</v>
      </c>
      <c r="P760" s="515">
        <v>44620</v>
      </c>
      <c r="Q760" s="516">
        <v>0</v>
      </c>
    </row>
    <row r="761" spans="1:17" ht="16.5">
      <c r="A761" s="9">
        <v>2022</v>
      </c>
      <c r="B761" s="10" t="s">
        <v>748</v>
      </c>
      <c r="C761" s="511" t="s">
        <v>749</v>
      </c>
      <c r="D761" s="512">
        <v>218000</v>
      </c>
      <c r="E761" s="512">
        <v>0</v>
      </c>
      <c r="F761" s="512"/>
      <c r="G761" s="512">
        <v>42100</v>
      </c>
      <c r="H761" s="512" t="s">
        <v>44</v>
      </c>
      <c r="I761" s="512"/>
      <c r="J761" s="512" t="s">
        <v>206</v>
      </c>
      <c r="K761" s="512" t="b">
        <v>0</v>
      </c>
      <c r="L761" s="512">
        <v>11</v>
      </c>
      <c r="M761" s="513">
        <v>2033</v>
      </c>
      <c r="N761" s="514">
        <v>0</v>
      </c>
      <c r="O761" s="515">
        <v>44620</v>
      </c>
      <c r="P761" s="515">
        <v>44620</v>
      </c>
      <c r="Q761" s="516">
        <v>0</v>
      </c>
    </row>
    <row r="762" spans="1:17" ht="16.5">
      <c r="A762" s="9">
        <v>2022</v>
      </c>
      <c r="B762" s="10" t="s">
        <v>748</v>
      </c>
      <c r="C762" s="511" t="s">
        <v>749</v>
      </c>
      <c r="D762" s="512">
        <v>218000</v>
      </c>
      <c r="E762" s="512">
        <v>0</v>
      </c>
      <c r="F762" s="512"/>
      <c r="G762" s="512">
        <v>42100</v>
      </c>
      <c r="H762" s="512" t="s">
        <v>44</v>
      </c>
      <c r="I762" s="512"/>
      <c r="J762" s="512" t="s">
        <v>206</v>
      </c>
      <c r="K762" s="512" t="b">
        <v>0</v>
      </c>
      <c r="L762" s="512">
        <v>1</v>
      </c>
      <c r="M762" s="513">
        <v>2023</v>
      </c>
      <c r="N762" s="514">
        <v>0</v>
      </c>
      <c r="O762" s="515">
        <v>44620</v>
      </c>
      <c r="P762" s="515">
        <v>44620</v>
      </c>
      <c r="Q762" s="516">
        <v>0</v>
      </c>
    </row>
    <row r="763" spans="1:17" ht="16.5">
      <c r="A763" s="9">
        <v>2022</v>
      </c>
      <c r="B763" s="10" t="s">
        <v>748</v>
      </c>
      <c r="C763" s="511" t="s">
        <v>749</v>
      </c>
      <c r="D763" s="512">
        <v>218000</v>
      </c>
      <c r="E763" s="512">
        <v>0</v>
      </c>
      <c r="F763" s="512"/>
      <c r="G763" s="512">
        <v>21200</v>
      </c>
      <c r="H763" s="512" t="s">
        <v>40</v>
      </c>
      <c r="I763" s="512"/>
      <c r="J763" s="512" t="s">
        <v>194</v>
      </c>
      <c r="K763" s="512" t="b">
        <v>1</v>
      </c>
      <c r="L763" s="512">
        <v>6</v>
      </c>
      <c r="M763" s="513">
        <v>2028</v>
      </c>
      <c r="N763" s="514">
        <v>0</v>
      </c>
      <c r="O763" s="515">
        <v>44620</v>
      </c>
      <c r="P763" s="515">
        <v>44620</v>
      </c>
      <c r="Q763" s="516">
        <v>0</v>
      </c>
    </row>
    <row r="764" spans="1:17" ht="16.5">
      <c r="A764" s="9">
        <v>2022</v>
      </c>
      <c r="B764" s="10" t="s">
        <v>748</v>
      </c>
      <c r="C764" s="511" t="s">
        <v>749</v>
      </c>
      <c r="D764" s="512">
        <v>218000</v>
      </c>
      <c r="E764" s="512">
        <v>0</v>
      </c>
      <c r="F764" s="512"/>
      <c r="G764" s="512">
        <v>21200</v>
      </c>
      <c r="H764" s="512" t="s">
        <v>40</v>
      </c>
      <c r="I764" s="512"/>
      <c r="J764" s="512" t="s">
        <v>194</v>
      </c>
      <c r="K764" s="512" t="b">
        <v>1</v>
      </c>
      <c r="L764" s="512">
        <v>0</v>
      </c>
      <c r="M764" s="513">
        <v>2022</v>
      </c>
      <c r="N764" s="514">
        <v>0</v>
      </c>
      <c r="O764" s="515">
        <v>44620</v>
      </c>
      <c r="P764" s="515">
        <v>44620</v>
      </c>
      <c r="Q764" s="516">
        <v>0</v>
      </c>
    </row>
    <row r="765" spans="1:17" ht="16.5">
      <c r="A765" s="9">
        <v>2022</v>
      </c>
      <c r="B765" s="10" t="s">
        <v>748</v>
      </c>
      <c r="C765" s="511" t="s">
        <v>749</v>
      </c>
      <c r="D765" s="512">
        <v>218000</v>
      </c>
      <c r="E765" s="512">
        <v>0</v>
      </c>
      <c r="F765" s="512"/>
      <c r="G765" s="512">
        <v>21200</v>
      </c>
      <c r="H765" s="512" t="s">
        <v>40</v>
      </c>
      <c r="I765" s="512"/>
      <c r="J765" s="512" t="s">
        <v>194</v>
      </c>
      <c r="K765" s="512" t="b">
        <v>1</v>
      </c>
      <c r="L765" s="512">
        <v>1</v>
      </c>
      <c r="M765" s="513">
        <v>2023</v>
      </c>
      <c r="N765" s="514">
        <v>0</v>
      </c>
      <c r="O765" s="515">
        <v>44620</v>
      </c>
      <c r="P765" s="515">
        <v>44620</v>
      </c>
      <c r="Q765" s="516">
        <v>0</v>
      </c>
    </row>
    <row r="766" spans="1:17" ht="16.5">
      <c r="A766" s="9">
        <v>2022</v>
      </c>
      <c r="B766" s="10" t="s">
        <v>748</v>
      </c>
      <c r="C766" s="511" t="s">
        <v>749</v>
      </c>
      <c r="D766" s="512">
        <v>218000</v>
      </c>
      <c r="E766" s="512">
        <v>0</v>
      </c>
      <c r="F766" s="512"/>
      <c r="G766" s="512">
        <v>21200</v>
      </c>
      <c r="H766" s="512" t="s">
        <v>40</v>
      </c>
      <c r="I766" s="512"/>
      <c r="J766" s="512" t="s">
        <v>194</v>
      </c>
      <c r="K766" s="512" t="b">
        <v>1</v>
      </c>
      <c r="L766" s="512">
        <v>8</v>
      </c>
      <c r="M766" s="513">
        <v>2030</v>
      </c>
      <c r="N766" s="514">
        <v>0</v>
      </c>
      <c r="O766" s="515">
        <v>44620</v>
      </c>
      <c r="P766" s="515">
        <v>44620</v>
      </c>
      <c r="Q766" s="516">
        <v>0</v>
      </c>
    </row>
    <row r="767" spans="1:17" ht="16.5">
      <c r="A767" s="9">
        <v>2022</v>
      </c>
      <c r="B767" s="10" t="s">
        <v>748</v>
      </c>
      <c r="C767" s="511" t="s">
        <v>749</v>
      </c>
      <c r="D767" s="512">
        <v>218000</v>
      </c>
      <c r="E767" s="512">
        <v>0</v>
      </c>
      <c r="F767" s="512"/>
      <c r="G767" s="512">
        <v>21200</v>
      </c>
      <c r="H767" s="512" t="s">
        <v>40</v>
      </c>
      <c r="I767" s="512"/>
      <c r="J767" s="512" t="s">
        <v>194</v>
      </c>
      <c r="K767" s="512" t="b">
        <v>1</v>
      </c>
      <c r="L767" s="512">
        <v>2</v>
      </c>
      <c r="M767" s="513">
        <v>2024</v>
      </c>
      <c r="N767" s="514">
        <v>0</v>
      </c>
      <c r="O767" s="515">
        <v>44620</v>
      </c>
      <c r="P767" s="515">
        <v>44620</v>
      </c>
      <c r="Q767" s="516">
        <v>0</v>
      </c>
    </row>
    <row r="768" spans="1:17" ht="16.5">
      <c r="A768" s="9">
        <v>2022</v>
      </c>
      <c r="B768" s="10" t="s">
        <v>748</v>
      </c>
      <c r="C768" s="511" t="s">
        <v>749</v>
      </c>
      <c r="D768" s="512">
        <v>218000</v>
      </c>
      <c r="E768" s="512">
        <v>0</v>
      </c>
      <c r="F768" s="512"/>
      <c r="G768" s="512">
        <v>21200</v>
      </c>
      <c r="H768" s="512" t="s">
        <v>40</v>
      </c>
      <c r="I768" s="512"/>
      <c r="J768" s="512" t="s">
        <v>194</v>
      </c>
      <c r="K768" s="512" t="b">
        <v>1</v>
      </c>
      <c r="L768" s="512">
        <v>9</v>
      </c>
      <c r="M768" s="513">
        <v>2031</v>
      </c>
      <c r="N768" s="514">
        <v>0</v>
      </c>
      <c r="O768" s="515">
        <v>44620</v>
      </c>
      <c r="P768" s="515">
        <v>44620</v>
      </c>
      <c r="Q768" s="516">
        <v>0</v>
      </c>
    </row>
    <row r="769" spans="1:17" ht="16.5">
      <c r="A769" s="9">
        <v>2022</v>
      </c>
      <c r="B769" s="10" t="s">
        <v>748</v>
      </c>
      <c r="C769" s="511" t="s">
        <v>749</v>
      </c>
      <c r="D769" s="512">
        <v>218000</v>
      </c>
      <c r="E769" s="512">
        <v>0</v>
      </c>
      <c r="F769" s="512"/>
      <c r="G769" s="512">
        <v>21200</v>
      </c>
      <c r="H769" s="512" t="s">
        <v>40</v>
      </c>
      <c r="I769" s="512"/>
      <c r="J769" s="512" t="s">
        <v>194</v>
      </c>
      <c r="K769" s="512" t="b">
        <v>1</v>
      </c>
      <c r="L769" s="512">
        <v>3</v>
      </c>
      <c r="M769" s="513">
        <v>2025</v>
      </c>
      <c r="N769" s="514">
        <v>0</v>
      </c>
      <c r="O769" s="515">
        <v>44620</v>
      </c>
      <c r="P769" s="515">
        <v>44620</v>
      </c>
      <c r="Q769" s="516">
        <v>0</v>
      </c>
    </row>
    <row r="770" spans="1:17" ht="16.5">
      <c r="A770" s="9">
        <v>2022</v>
      </c>
      <c r="B770" s="10" t="s">
        <v>748</v>
      </c>
      <c r="C770" s="511" t="s">
        <v>749</v>
      </c>
      <c r="D770" s="512">
        <v>218000</v>
      </c>
      <c r="E770" s="512">
        <v>0</v>
      </c>
      <c r="F770" s="512"/>
      <c r="G770" s="512">
        <v>21200</v>
      </c>
      <c r="H770" s="512" t="s">
        <v>40</v>
      </c>
      <c r="I770" s="512"/>
      <c r="J770" s="512" t="s">
        <v>194</v>
      </c>
      <c r="K770" s="512" t="b">
        <v>1</v>
      </c>
      <c r="L770" s="512">
        <v>5</v>
      </c>
      <c r="M770" s="513">
        <v>2027</v>
      </c>
      <c r="N770" s="514">
        <v>0</v>
      </c>
      <c r="O770" s="515">
        <v>44620</v>
      </c>
      <c r="P770" s="515">
        <v>44620</v>
      </c>
      <c r="Q770" s="516">
        <v>0</v>
      </c>
    </row>
    <row r="771" spans="1:17" ht="16.5">
      <c r="A771" s="9">
        <v>2022</v>
      </c>
      <c r="B771" s="10" t="s">
        <v>748</v>
      </c>
      <c r="C771" s="511" t="s">
        <v>749</v>
      </c>
      <c r="D771" s="512">
        <v>218000</v>
      </c>
      <c r="E771" s="512">
        <v>0</v>
      </c>
      <c r="F771" s="512"/>
      <c r="G771" s="512">
        <v>21200</v>
      </c>
      <c r="H771" s="512" t="s">
        <v>40</v>
      </c>
      <c r="I771" s="512"/>
      <c r="J771" s="512" t="s">
        <v>194</v>
      </c>
      <c r="K771" s="512" t="b">
        <v>1</v>
      </c>
      <c r="L771" s="512">
        <v>7</v>
      </c>
      <c r="M771" s="513">
        <v>2029</v>
      </c>
      <c r="N771" s="514">
        <v>0</v>
      </c>
      <c r="O771" s="515">
        <v>44620</v>
      </c>
      <c r="P771" s="515">
        <v>44620</v>
      </c>
      <c r="Q771" s="516">
        <v>0</v>
      </c>
    </row>
    <row r="772" spans="1:17" ht="16.5">
      <c r="A772" s="9">
        <v>2022</v>
      </c>
      <c r="B772" s="10" t="s">
        <v>748</v>
      </c>
      <c r="C772" s="511" t="s">
        <v>749</v>
      </c>
      <c r="D772" s="512">
        <v>218000</v>
      </c>
      <c r="E772" s="512">
        <v>0</v>
      </c>
      <c r="F772" s="512"/>
      <c r="G772" s="512">
        <v>21200</v>
      </c>
      <c r="H772" s="512" t="s">
        <v>40</v>
      </c>
      <c r="I772" s="512"/>
      <c r="J772" s="512" t="s">
        <v>194</v>
      </c>
      <c r="K772" s="512" t="b">
        <v>1</v>
      </c>
      <c r="L772" s="512">
        <v>11</v>
      </c>
      <c r="M772" s="513">
        <v>2033</v>
      </c>
      <c r="N772" s="514">
        <v>0</v>
      </c>
      <c r="O772" s="515">
        <v>44620</v>
      </c>
      <c r="P772" s="515">
        <v>44620</v>
      </c>
      <c r="Q772" s="516">
        <v>0</v>
      </c>
    </row>
    <row r="773" spans="1:17" ht="16.5">
      <c r="A773" s="9">
        <v>2022</v>
      </c>
      <c r="B773" s="10" t="s">
        <v>748</v>
      </c>
      <c r="C773" s="511" t="s">
        <v>749</v>
      </c>
      <c r="D773" s="512">
        <v>218000</v>
      </c>
      <c r="E773" s="512">
        <v>0</v>
      </c>
      <c r="F773" s="512"/>
      <c r="G773" s="512">
        <v>21200</v>
      </c>
      <c r="H773" s="512" t="s">
        <v>40</v>
      </c>
      <c r="I773" s="512"/>
      <c r="J773" s="512" t="s">
        <v>194</v>
      </c>
      <c r="K773" s="512" t="b">
        <v>1</v>
      </c>
      <c r="L773" s="512">
        <v>10</v>
      </c>
      <c r="M773" s="513">
        <v>2032</v>
      </c>
      <c r="N773" s="514">
        <v>0</v>
      </c>
      <c r="O773" s="515">
        <v>44620</v>
      </c>
      <c r="P773" s="515">
        <v>44620</v>
      </c>
      <c r="Q773" s="516">
        <v>0</v>
      </c>
    </row>
    <row r="774" spans="1:17" ht="16.5">
      <c r="A774" s="9">
        <v>2022</v>
      </c>
      <c r="B774" s="10" t="s">
        <v>748</v>
      </c>
      <c r="C774" s="511" t="s">
        <v>749</v>
      </c>
      <c r="D774" s="512">
        <v>218000</v>
      </c>
      <c r="E774" s="512">
        <v>0</v>
      </c>
      <c r="F774" s="512"/>
      <c r="G774" s="512">
        <v>21200</v>
      </c>
      <c r="H774" s="512" t="s">
        <v>40</v>
      </c>
      <c r="I774" s="512"/>
      <c r="J774" s="512" t="s">
        <v>194</v>
      </c>
      <c r="K774" s="512" t="b">
        <v>1</v>
      </c>
      <c r="L774" s="512">
        <v>4</v>
      </c>
      <c r="M774" s="513">
        <v>2026</v>
      </c>
      <c r="N774" s="514">
        <v>0</v>
      </c>
      <c r="O774" s="515">
        <v>44620</v>
      </c>
      <c r="P774" s="515">
        <v>44620</v>
      </c>
      <c r="Q774" s="516">
        <v>0</v>
      </c>
    </row>
    <row r="775" spans="1:17" ht="16.5">
      <c r="A775" s="9">
        <v>2022</v>
      </c>
      <c r="B775" s="10" t="s">
        <v>748</v>
      </c>
      <c r="C775" s="511" t="s">
        <v>749</v>
      </c>
      <c r="D775" s="512">
        <v>218000</v>
      </c>
      <c r="E775" s="512">
        <v>0</v>
      </c>
      <c r="F775" s="512"/>
      <c r="G775" s="512">
        <v>40000</v>
      </c>
      <c r="H775" s="512">
        <v>4</v>
      </c>
      <c r="I775" s="512" t="s">
        <v>774</v>
      </c>
      <c r="J775" s="512" t="s">
        <v>21</v>
      </c>
      <c r="K775" s="512" t="b">
        <v>0</v>
      </c>
      <c r="L775" s="512">
        <v>2</v>
      </c>
      <c r="M775" s="513">
        <v>2024</v>
      </c>
      <c r="N775" s="514">
        <v>0</v>
      </c>
      <c r="O775" s="515">
        <v>44620</v>
      </c>
      <c r="P775" s="515">
        <v>44620</v>
      </c>
      <c r="Q775" s="516">
        <v>0</v>
      </c>
    </row>
    <row r="776" spans="1:17" ht="16.5">
      <c r="A776" s="9">
        <v>2022</v>
      </c>
      <c r="B776" s="10" t="s">
        <v>748</v>
      </c>
      <c r="C776" s="511" t="s">
        <v>749</v>
      </c>
      <c r="D776" s="512">
        <v>218000</v>
      </c>
      <c r="E776" s="512">
        <v>0</v>
      </c>
      <c r="F776" s="512"/>
      <c r="G776" s="512">
        <v>40000</v>
      </c>
      <c r="H776" s="512">
        <v>4</v>
      </c>
      <c r="I776" s="512" t="s">
        <v>774</v>
      </c>
      <c r="J776" s="512" t="s">
        <v>21</v>
      </c>
      <c r="K776" s="512" t="b">
        <v>0</v>
      </c>
      <c r="L776" s="512">
        <v>4</v>
      </c>
      <c r="M776" s="513">
        <v>2026</v>
      </c>
      <c r="N776" s="514">
        <v>0</v>
      </c>
      <c r="O776" s="515">
        <v>44620</v>
      </c>
      <c r="P776" s="515">
        <v>44620</v>
      </c>
      <c r="Q776" s="516">
        <v>0</v>
      </c>
    </row>
    <row r="777" spans="1:17" ht="16.5">
      <c r="A777" s="9">
        <v>2022</v>
      </c>
      <c r="B777" s="10" t="s">
        <v>748</v>
      </c>
      <c r="C777" s="511" t="s">
        <v>749</v>
      </c>
      <c r="D777" s="512">
        <v>218000</v>
      </c>
      <c r="E777" s="512">
        <v>0</v>
      </c>
      <c r="F777" s="512"/>
      <c r="G777" s="512">
        <v>40000</v>
      </c>
      <c r="H777" s="512">
        <v>4</v>
      </c>
      <c r="I777" s="512" t="s">
        <v>774</v>
      </c>
      <c r="J777" s="512" t="s">
        <v>21</v>
      </c>
      <c r="K777" s="512" t="b">
        <v>0</v>
      </c>
      <c r="L777" s="512">
        <v>7</v>
      </c>
      <c r="M777" s="513">
        <v>2029</v>
      </c>
      <c r="N777" s="514">
        <v>0</v>
      </c>
      <c r="O777" s="515">
        <v>44620</v>
      </c>
      <c r="P777" s="515">
        <v>44620</v>
      </c>
      <c r="Q777" s="516">
        <v>0</v>
      </c>
    </row>
    <row r="778" spans="1:17" ht="16.5">
      <c r="A778" s="9">
        <v>2022</v>
      </c>
      <c r="B778" s="10" t="s">
        <v>748</v>
      </c>
      <c r="C778" s="511" t="s">
        <v>749</v>
      </c>
      <c r="D778" s="512">
        <v>218000</v>
      </c>
      <c r="E778" s="512">
        <v>0</v>
      </c>
      <c r="F778" s="512"/>
      <c r="G778" s="512">
        <v>40000</v>
      </c>
      <c r="H778" s="512">
        <v>4</v>
      </c>
      <c r="I778" s="512" t="s">
        <v>774</v>
      </c>
      <c r="J778" s="512" t="s">
        <v>21</v>
      </c>
      <c r="K778" s="512" t="b">
        <v>0</v>
      </c>
      <c r="L778" s="512">
        <v>1</v>
      </c>
      <c r="M778" s="513">
        <v>2023</v>
      </c>
      <c r="N778" s="514">
        <v>1000000</v>
      </c>
      <c r="O778" s="515">
        <v>44620</v>
      </c>
      <c r="P778" s="515">
        <v>44620</v>
      </c>
      <c r="Q778" s="516">
        <v>0</v>
      </c>
    </row>
    <row r="779" spans="1:17" ht="16.5">
      <c r="A779" s="9">
        <v>2022</v>
      </c>
      <c r="B779" s="10" t="s">
        <v>748</v>
      </c>
      <c r="C779" s="511" t="s">
        <v>749</v>
      </c>
      <c r="D779" s="512">
        <v>218000</v>
      </c>
      <c r="E779" s="512">
        <v>0</v>
      </c>
      <c r="F779" s="512"/>
      <c r="G779" s="512">
        <v>40000</v>
      </c>
      <c r="H779" s="512">
        <v>4</v>
      </c>
      <c r="I779" s="512" t="s">
        <v>774</v>
      </c>
      <c r="J779" s="512" t="s">
        <v>21</v>
      </c>
      <c r="K779" s="512" t="b">
        <v>0</v>
      </c>
      <c r="L779" s="512">
        <v>5</v>
      </c>
      <c r="M779" s="513">
        <v>2027</v>
      </c>
      <c r="N779" s="514">
        <v>0</v>
      </c>
      <c r="O779" s="515">
        <v>44620</v>
      </c>
      <c r="P779" s="515">
        <v>44620</v>
      </c>
      <c r="Q779" s="516">
        <v>0</v>
      </c>
    </row>
    <row r="780" spans="1:17" ht="16.5">
      <c r="A780" s="9">
        <v>2022</v>
      </c>
      <c r="B780" s="10" t="s">
        <v>748</v>
      </c>
      <c r="C780" s="511" t="s">
        <v>749</v>
      </c>
      <c r="D780" s="512">
        <v>218000</v>
      </c>
      <c r="E780" s="512">
        <v>0</v>
      </c>
      <c r="F780" s="512"/>
      <c r="G780" s="512">
        <v>40000</v>
      </c>
      <c r="H780" s="512">
        <v>4</v>
      </c>
      <c r="I780" s="512" t="s">
        <v>774</v>
      </c>
      <c r="J780" s="512" t="s">
        <v>21</v>
      </c>
      <c r="K780" s="512" t="b">
        <v>0</v>
      </c>
      <c r="L780" s="512">
        <v>6</v>
      </c>
      <c r="M780" s="513">
        <v>2028</v>
      </c>
      <c r="N780" s="514">
        <v>0</v>
      </c>
      <c r="O780" s="515">
        <v>44620</v>
      </c>
      <c r="P780" s="515">
        <v>44620</v>
      </c>
      <c r="Q780" s="516">
        <v>0</v>
      </c>
    </row>
    <row r="781" spans="1:17" ht="16.5">
      <c r="A781" s="9">
        <v>2022</v>
      </c>
      <c r="B781" s="10" t="s">
        <v>748</v>
      </c>
      <c r="C781" s="511" t="s">
        <v>749</v>
      </c>
      <c r="D781" s="512">
        <v>218000</v>
      </c>
      <c r="E781" s="512">
        <v>0</v>
      </c>
      <c r="F781" s="512"/>
      <c r="G781" s="512">
        <v>40000</v>
      </c>
      <c r="H781" s="512">
        <v>4</v>
      </c>
      <c r="I781" s="512" t="s">
        <v>774</v>
      </c>
      <c r="J781" s="512" t="s">
        <v>21</v>
      </c>
      <c r="K781" s="512" t="b">
        <v>0</v>
      </c>
      <c r="L781" s="512">
        <v>9</v>
      </c>
      <c r="M781" s="513">
        <v>2031</v>
      </c>
      <c r="N781" s="514">
        <v>0</v>
      </c>
      <c r="O781" s="515">
        <v>44620</v>
      </c>
      <c r="P781" s="515">
        <v>44620</v>
      </c>
      <c r="Q781" s="516">
        <v>0</v>
      </c>
    </row>
    <row r="782" spans="1:17" ht="16.5">
      <c r="A782" s="9">
        <v>2022</v>
      </c>
      <c r="B782" s="10" t="s">
        <v>748</v>
      </c>
      <c r="C782" s="511" t="s">
        <v>749</v>
      </c>
      <c r="D782" s="512">
        <v>218000</v>
      </c>
      <c r="E782" s="512">
        <v>0</v>
      </c>
      <c r="F782" s="512"/>
      <c r="G782" s="512">
        <v>40000</v>
      </c>
      <c r="H782" s="512">
        <v>4</v>
      </c>
      <c r="I782" s="512" t="s">
        <v>774</v>
      </c>
      <c r="J782" s="512" t="s">
        <v>21</v>
      </c>
      <c r="K782" s="512" t="b">
        <v>0</v>
      </c>
      <c r="L782" s="512">
        <v>3</v>
      </c>
      <c r="M782" s="513">
        <v>2025</v>
      </c>
      <c r="N782" s="514">
        <v>0</v>
      </c>
      <c r="O782" s="515">
        <v>44620</v>
      </c>
      <c r="P782" s="515">
        <v>44620</v>
      </c>
      <c r="Q782" s="516">
        <v>0</v>
      </c>
    </row>
    <row r="783" spans="1:17" ht="16.5">
      <c r="A783" s="9">
        <v>2022</v>
      </c>
      <c r="B783" s="10" t="s">
        <v>748</v>
      </c>
      <c r="C783" s="511" t="s">
        <v>749</v>
      </c>
      <c r="D783" s="512">
        <v>218000</v>
      </c>
      <c r="E783" s="512">
        <v>0</v>
      </c>
      <c r="F783" s="512"/>
      <c r="G783" s="512">
        <v>40000</v>
      </c>
      <c r="H783" s="512">
        <v>4</v>
      </c>
      <c r="I783" s="512" t="s">
        <v>774</v>
      </c>
      <c r="J783" s="512" t="s">
        <v>21</v>
      </c>
      <c r="K783" s="512" t="b">
        <v>0</v>
      </c>
      <c r="L783" s="512">
        <v>10</v>
      </c>
      <c r="M783" s="513">
        <v>2032</v>
      </c>
      <c r="N783" s="514">
        <v>0</v>
      </c>
      <c r="O783" s="515">
        <v>44620</v>
      </c>
      <c r="P783" s="515">
        <v>44620</v>
      </c>
      <c r="Q783" s="516">
        <v>0</v>
      </c>
    </row>
    <row r="784" spans="1:17" ht="16.5">
      <c r="A784" s="9">
        <v>2022</v>
      </c>
      <c r="B784" s="10" t="s">
        <v>748</v>
      </c>
      <c r="C784" s="511" t="s">
        <v>749</v>
      </c>
      <c r="D784" s="512">
        <v>218000</v>
      </c>
      <c r="E784" s="512">
        <v>0</v>
      </c>
      <c r="F784" s="512"/>
      <c r="G784" s="512">
        <v>40000</v>
      </c>
      <c r="H784" s="512">
        <v>4</v>
      </c>
      <c r="I784" s="512" t="s">
        <v>774</v>
      </c>
      <c r="J784" s="512" t="s">
        <v>21</v>
      </c>
      <c r="K784" s="512" t="b">
        <v>0</v>
      </c>
      <c r="L784" s="512">
        <v>0</v>
      </c>
      <c r="M784" s="513">
        <v>2022</v>
      </c>
      <c r="N784" s="514">
        <v>14662538</v>
      </c>
      <c r="O784" s="515">
        <v>44620</v>
      </c>
      <c r="P784" s="515">
        <v>44620</v>
      </c>
      <c r="Q784" s="516">
        <v>0</v>
      </c>
    </row>
    <row r="785" spans="1:17" ht="16.5">
      <c r="A785" s="9">
        <v>2022</v>
      </c>
      <c r="B785" s="10" t="s">
        <v>748</v>
      </c>
      <c r="C785" s="511" t="s">
        <v>749</v>
      </c>
      <c r="D785" s="512">
        <v>218000</v>
      </c>
      <c r="E785" s="512">
        <v>0</v>
      </c>
      <c r="F785" s="512"/>
      <c r="G785" s="512">
        <v>40000</v>
      </c>
      <c r="H785" s="512">
        <v>4</v>
      </c>
      <c r="I785" s="512" t="s">
        <v>774</v>
      </c>
      <c r="J785" s="512" t="s">
        <v>21</v>
      </c>
      <c r="K785" s="512" t="b">
        <v>0</v>
      </c>
      <c r="L785" s="512">
        <v>8</v>
      </c>
      <c r="M785" s="513">
        <v>2030</v>
      </c>
      <c r="N785" s="514">
        <v>0</v>
      </c>
      <c r="O785" s="515">
        <v>44620</v>
      </c>
      <c r="P785" s="515">
        <v>44620</v>
      </c>
      <c r="Q785" s="516">
        <v>0</v>
      </c>
    </row>
    <row r="786" spans="1:17" ht="16.5">
      <c r="A786" s="9">
        <v>2022</v>
      </c>
      <c r="B786" s="10" t="s">
        <v>748</v>
      </c>
      <c r="C786" s="511" t="s">
        <v>749</v>
      </c>
      <c r="D786" s="512">
        <v>218000</v>
      </c>
      <c r="E786" s="512">
        <v>0</v>
      </c>
      <c r="F786" s="512"/>
      <c r="G786" s="512">
        <v>40000</v>
      </c>
      <c r="H786" s="512">
        <v>4</v>
      </c>
      <c r="I786" s="512" t="s">
        <v>774</v>
      </c>
      <c r="J786" s="512" t="s">
        <v>21</v>
      </c>
      <c r="K786" s="512" t="b">
        <v>0</v>
      </c>
      <c r="L786" s="512">
        <v>11</v>
      </c>
      <c r="M786" s="513">
        <v>2033</v>
      </c>
      <c r="N786" s="514">
        <v>0</v>
      </c>
      <c r="O786" s="515">
        <v>44620</v>
      </c>
      <c r="P786" s="515">
        <v>44620</v>
      </c>
      <c r="Q786" s="516">
        <v>0</v>
      </c>
    </row>
    <row r="787" spans="1:17" ht="16.5">
      <c r="A787" s="9">
        <v>2022</v>
      </c>
      <c r="B787" s="10" t="s">
        <v>748</v>
      </c>
      <c r="C787" s="511" t="s">
        <v>749</v>
      </c>
      <c r="D787" s="512">
        <v>218000</v>
      </c>
      <c r="E787" s="512">
        <v>0</v>
      </c>
      <c r="F787" s="512"/>
      <c r="G787" s="512">
        <v>84100</v>
      </c>
      <c r="H787" s="512" t="s">
        <v>282</v>
      </c>
      <c r="I787" s="512" t="s">
        <v>775</v>
      </c>
      <c r="J787" s="512" t="s">
        <v>232</v>
      </c>
      <c r="K787" s="512" t="b">
        <v>0</v>
      </c>
      <c r="L787" s="512">
        <v>11</v>
      </c>
      <c r="M787" s="513">
        <v>2033</v>
      </c>
      <c r="N787" s="514">
        <v>899</v>
      </c>
      <c r="O787" s="515">
        <v>44620</v>
      </c>
      <c r="P787" s="515">
        <v>44620</v>
      </c>
      <c r="Q787" s="516">
        <v>0</v>
      </c>
    </row>
    <row r="788" spans="1:17" ht="16.5">
      <c r="A788" s="9">
        <v>2022</v>
      </c>
      <c r="B788" s="10" t="s">
        <v>748</v>
      </c>
      <c r="C788" s="511" t="s">
        <v>749</v>
      </c>
      <c r="D788" s="512">
        <v>218000</v>
      </c>
      <c r="E788" s="512">
        <v>0</v>
      </c>
      <c r="F788" s="512"/>
      <c r="G788" s="512">
        <v>84100</v>
      </c>
      <c r="H788" s="512" t="s">
        <v>282</v>
      </c>
      <c r="I788" s="512" t="s">
        <v>775</v>
      </c>
      <c r="J788" s="512" t="s">
        <v>232</v>
      </c>
      <c r="K788" s="512" t="b">
        <v>0</v>
      </c>
      <c r="L788" s="512">
        <v>4</v>
      </c>
      <c r="M788" s="513">
        <v>2026</v>
      </c>
      <c r="N788" s="514">
        <v>604</v>
      </c>
      <c r="O788" s="515">
        <v>44620</v>
      </c>
      <c r="P788" s="515">
        <v>44620</v>
      </c>
      <c r="Q788" s="516">
        <v>0</v>
      </c>
    </row>
    <row r="789" spans="1:17" ht="16.5">
      <c r="A789" s="9">
        <v>2022</v>
      </c>
      <c r="B789" s="10" t="s">
        <v>748</v>
      </c>
      <c r="C789" s="511" t="s">
        <v>749</v>
      </c>
      <c r="D789" s="512">
        <v>218000</v>
      </c>
      <c r="E789" s="512">
        <v>0</v>
      </c>
      <c r="F789" s="512"/>
      <c r="G789" s="512">
        <v>84100</v>
      </c>
      <c r="H789" s="512" t="s">
        <v>282</v>
      </c>
      <c r="I789" s="512" t="s">
        <v>775</v>
      </c>
      <c r="J789" s="512" t="s">
        <v>232</v>
      </c>
      <c r="K789" s="512" t="b">
        <v>0</v>
      </c>
      <c r="L789" s="512">
        <v>6</v>
      </c>
      <c r="M789" s="513">
        <v>2028</v>
      </c>
      <c r="N789" s="514">
        <v>608</v>
      </c>
      <c r="O789" s="515">
        <v>44620</v>
      </c>
      <c r="P789" s="515">
        <v>44620</v>
      </c>
      <c r="Q789" s="516">
        <v>0</v>
      </c>
    </row>
    <row r="790" spans="1:17" ht="16.5">
      <c r="A790" s="9">
        <v>2022</v>
      </c>
      <c r="B790" s="10" t="s">
        <v>748</v>
      </c>
      <c r="C790" s="511" t="s">
        <v>749</v>
      </c>
      <c r="D790" s="512">
        <v>218000</v>
      </c>
      <c r="E790" s="512">
        <v>0</v>
      </c>
      <c r="F790" s="512"/>
      <c r="G790" s="512">
        <v>84100</v>
      </c>
      <c r="H790" s="512" t="s">
        <v>282</v>
      </c>
      <c r="I790" s="512" t="s">
        <v>775</v>
      </c>
      <c r="J790" s="512" t="s">
        <v>232</v>
      </c>
      <c r="K790" s="512" t="b">
        <v>0</v>
      </c>
      <c r="L790" s="512">
        <v>5</v>
      </c>
      <c r="M790" s="513">
        <v>2027</v>
      </c>
      <c r="N790" s="514">
        <v>517</v>
      </c>
      <c r="O790" s="515">
        <v>44620</v>
      </c>
      <c r="P790" s="515">
        <v>44620</v>
      </c>
      <c r="Q790" s="516">
        <v>0</v>
      </c>
    </row>
    <row r="791" spans="1:17" ht="16.5">
      <c r="A791" s="9">
        <v>2022</v>
      </c>
      <c r="B791" s="10" t="s">
        <v>748</v>
      </c>
      <c r="C791" s="511" t="s">
        <v>749</v>
      </c>
      <c r="D791" s="512">
        <v>218000</v>
      </c>
      <c r="E791" s="512">
        <v>0</v>
      </c>
      <c r="F791" s="512"/>
      <c r="G791" s="512">
        <v>84100</v>
      </c>
      <c r="H791" s="512" t="s">
        <v>282</v>
      </c>
      <c r="I791" s="512" t="s">
        <v>775</v>
      </c>
      <c r="J791" s="512" t="s">
        <v>232</v>
      </c>
      <c r="K791" s="512" t="b">
        <v>0</v>
      </c>
      <c r="L791" s="512">
        <v>2</v>
      </c>
      <c r="M791" s="513">
        <v>2024</v>
      </c>
      <c r="N791" s="514">
        <v>914</v>
      </c>
      <c r="O791" s="515">
        <v>44620</v>
      </c>
      <c r="P791" s="515">
        <v>44620</v>
      </c>
      <c r="Q791" s="516">
        <v>0</v>
      </c>
    </row>
    <row r="792" spans="1:17" ht="16.5">
      <c r="A792" s="9">
        <v>2022</v>
      </c>
      <c r="B792" s="10" t="s">
        <v>748</v>
      </c>
      <c r="C792" s="511" t="s">
        <v>749</v>
      </c>
      <c r="D792" s="512">
        <v>218000</v>
      </c>
      <c r="E792" s="512">
        <v>0</v>
      </c>
      <c r="F792" s="512"/>
      <c r="G792" s="512">
        <v>84100</v>
      </c>
      <c r="H792" s="512" t="s">
        <v>282</v>
      </c>
      <c r="I792" s="512" t="s">
        <v>775</v>
      </c>
      <c r="J792" s="512" t="s">
        <v>232</v>
      </c>
      <c r="K792" s="512" t="b">
        <v>0</v>
      </c>
      <c r="L792" s="512">
        <v>0</v>
      </c>
      <c r="M792" s="513">
        <v>2022</v>
      </c>
      <c r="N792" s="514">
        <v>1671</v>
      </c>
      <c r="O792" s="515">
        <v>44620</v>
      </c>
      <c r="P792" s="515">
        <v>44620</v>
      </c>
      <c r="Q792" s="516">
        <v>0</v>
      </c>
    </row>
    <row r="793" spans="1:17" ht="16.5">
      <c r="A793" s="9">
        <v>2022</v>
      </c>
      <c r="B793" s="10" t="s">
        <v>748</v>
      </c>
      <c r="C793" s="511" t="s">
        <v>749</v>
      </c>
      <c r="D793" s="512">
        <v>218000</v>
      </c>
      <c r="E793" s="512">
        <v>0</v>
      </c>
      <c r="F793" s="512"/>
      <c r="G793" s="512">
        <v>84100</v>
      </c>
      <c r="H793" s="512" t="s">
        <v>282</v>
      </c>
      <c r="I793" s="512" t="s">
        <v>775</v>
      </c>
      <c r="J793" s="512" t="s">
        <v>232</v>
      </c>
      <c r="K793" s="512" t="b">
        <v>0</v>
      </c>
      <c r="L793" s="512">
        <v>1</v>
      </c>
      <c r="M793" s="513">
        <v>2023</v>
      </c>
      <c r="N793" s="514">
        <v>996</v>
      </c>
      <c r="O793" s="515">
        <v>44620</v>
      </c>
      <c r="P793" s="515">
        <v>44620</v>
      </c>
      <c r="Q793" s="516">
        <v>0</v>
      </c>
    </row>
    <row r="794" spans="1:17" ht="16.5">
      <c r="A794" s="9">
        <v>2022</v>
      </c>
      <c r="B794" s="10" t="s">
        <v>748</v>
      </c>
      <c r="C794" s="511" t="s">
        <v>749</v>
      </c>
      <c r="D794" s="512">
        <v>218000</v>
      </c>
      <c r="E794" s="512">
        <v>0</v>
      </c>
      <c r="F794" s="512"/>
      <c r="G794" s="512">
        <v>84100</v>
      </c>
      <c r="H794" s="512" t="s">
        <v>282</v>
      </c>
      <c r="I794" s="512" t="s">
        <v>775</v>
      </c>
      <c r="J794" s="512" t="s">
        <v>232</v>
      </c>
      <c r="K794" s="512" t="b">
        <v>0</v>
      </c>
      <c r="L794" s="512">
        <v>8</v>
      </c>
      <c r="M794" s="513">
        <v>2030</v>
      </c>
      <c r="N794" s="514">
        <v>650</v>
      </c>
      <c r="O794" s="515">
        <v>44620</v>
      </c>
      <c r="P794" s="515">
        <v>44620</v>
      </c>
      <c r="Q794" s="516">
        <v>0</v>
      </c>
    </row>
    <row r="795" spans="1:17" ht="16.5">
      <c r="A795" s="9">
        <v>2022</v>
      </c>
      <c r="B795" s="10" t="s">
        <v>748</v>
      </c>
      <c r="C795" s="511" t="s">
        <v>749</v>
      </c>
      <c r="D795" s="512">
        <v>218000</v>
      </c>
      <c r="E795" s="512">
        <v>0</v>
      </c>
      <c r="F795" s="512"/>
      <c r="G795" s="512">
        <v>84100</v>
      </c>
      <c r="H795" s="512" t="s">
        <v>282</v>
      </c>
      <c r="I795" s="512" t="s">
        <v>775</v>
      </c>
      <c r="J795" s="512" t="s">
        <v>232</v>
      </c>
      <c r="K795" s="512" t="b">
        <v>0</v>
      </c>
      <c r="L795" s="512">
        <v>3</v>
      </c>
      <c r="M795" s="513">
        <v>2025</v>
      </c>
      <c r="N795" s="514">
        <v>837</v>
      </c>
      <c r="O795" s="515">
        <v>44620</v>
      </c>
      <c r="P795" s="515">
        <v>44620</v>
      </c>
      <c r="Q795" s="516">
        <v>0</v>
      </c>
    </row>
    <row r="796" spans="1:17" ht="16.5">
      <c r="A796" s="9">
        <v>2022</v>
      </c>
      <c r="B796" s="10" t="s">
        <v>748</v>
      </c>
      <c r="C796" s="511" t="s">
        <v>749</v>
      </c>
      <c r="D796" s="512">
        <v>218000</v>
      </c>
      <c r="E796" s="512">
        <v>0</v>
      </c>
      <c r="F796" s="512"/>
      <c r="G796" s="512">
        <v>84100</v>
      </c>
      <c r="H796" s="512" t="s">
        <v>282</v>
      </c>
      <c r="I796" s="512" t="s">
        <v>775</v>
      </c>
      <c r="J796" s="512" t="s">
        <v>232</v>
      </c>
      <c r="K796" s="512" t="b">
        <v>0</v>
      </c>
      <c r="L796" s="512">
        <v>10</v>
      </c>
      <c r="M796" s="513">
        <v>2032</v>
      </c>
      <c r="N796" s="514">
        <v>804</v>
      </c>
      <c r="O796" s="515">
        <v>44620</v>
      </c>
      <c r="P796" s="515">
        <v>44620</v>
      </c>
      <c r="Q796" s="516">
        <v>0</v>
      </c>
    </row>
    <row r="797" spans="1:17" ht="16.5">
      <c r="A797" s="9">
        <v>2022</v>
      </c>
      <c r="B797" s="10" t="s">
        <v>748</v>
      </c>
      <c r="C797" s="511" t="s">
        <v>749</v>
      </c>
      <c r="D797" s="512">
        <v>218000</v>
      </c>
      <c r="E797" s="512">
        <v>0</v>
      </c>
      <c r="F797" s="512"/>
      <c r="G797" s="512">
        <v>84100</v>
      </c>
      <c r="H797" s="512" t="s">
        <v>282</v>
      </c>
      <c r="I797" s="512" t="s">
        <v>775</v>
      </c>
      <c r="J797" s="512" t="s">
        <v>232</v>
      </c>
      <c r="K797" s="512" t="b">
        <v>0</v>
      </c>
      <c r="L797" s="512">
        <v>7</v>
      </c>
      <c r="M797" s="513">
        <v>2029</v>
      </c>
      <c r="N797" s="514">
        <v>519</v>
      </c>
      <c r="O797" s="515">
        <v>44620</v>
      </c>
      <c r="P797" s="515">
        <v>44620</v>
      </c>
      <c r="Q797" s="516">
        <v>0</v>
      </c>
    </row>
    <row r="798" spans="1:17" ht="16.5">
      <c r="A798" s="9">
        <v>2022</v>
      </c>
      <c r="B798" s="10" t="s">
        <v>748</v>
      </c>
      <c r="C798" s="511" t="s">
        <v>749</v>
      </c>
      <c r="D798" s="512">
        <v>218000</v>
      </c>
      <c r="E798" s="512">
        <v>0</v>
      </c>
      <c r="F798" s="512"/>
      <c r="G798" s="512">
        <v>84100</v>
      </c>
      <c r="H798" s="512" t="s">
        <v>282</v>
      </c>
      <c r="I798" s="512" t="s">
        <v>775</v>
      </c>
      <c r="J798" s="512" t="s">
        <v>232</v>
      </c>
      <c r="K798" s="512" t="b">
        <v>0</v>
      </c>
      <c r="L798" s="512">
        <v>9</v>
      </c>
      <c r="M798" s="513">
        <v>2031</v>
      </c>
      <c r="N798" s="514">
        <v>748</v>
      </c>
      <c r="O798" s="515">
        <v>44620</v>
      </c>
      <c r="P798" s="515">
        <v>44620</v>
      </c>
      <c r="Q798" s="516">
        <v>0</v>
      </c>
    </row>
    <row r="799" spans="1:17" ht="16.5">
      <c r="A799" s="9">
        <v>2022</v>
      </c>
      <c r="B799" s="10" t="s">
        <v>748</v>
      </c>
      <c r="C799" s="511" t="s">
        <v>749</v>
      </c>
      <c r="D799" s="512">
        <v>218000</v>
      </c>
      <c r="E799" s="512">
        <v>0</v>
      </c>
      <c r="F799" s="512"/>
      <c r="G799" s="512">
        <v>92110</v>
      </c>
      <c r="H799" s="512" t="s">
        <v>286</v>
      </c>
      <c r="I799" s="512"/>
      <c r="J799" s="512" t="s">
        <v>236</v>
      </c>
      <c r="K799" s="512" t="b">
        <v>0</v>
      </c>
      <c r="L799" s="512">
        <v>11</v>
      </c>
      <c r="M799" s="513">
        <v>2033</v>
      </c>
      <c r="N799" s="514">
        <v>0</v>
      </c>
      <c r="O799" s="515">
        <v>44620</v>
      </c>
      <c r="P799" s="515">
        <v>44620</v>
      </c>
      <c r="Q799" s="516">
        <v>0</v>
      </c>
    </row>
    <row r="800" spans="1:17" ht="16.5">
      <c r="A800" s="9">
        <v>2022</v>
      </c>
      <c r="B800" s="10" t="s">
        <v>748</v>
      </c>
      <c r="C800" s="511" t="s">
        <v>749</v>
      </c>
      <c r="D800" s="512">
        <v>218000</v>
      </c>
      <c r="E800" s="512">
        <v>0</v>
      </c>
      <c r="F800" s="512"/>
      <c r="G800" s="512">
        <v>92110</v>
      </c>
      <c r="H800" s="512" t="s">
        <v>286</v>
      </c>
      <c r="I800" s="512"/>
      <c r="J800" s="512" t="s">
        <v>236</v>
      </c>
      <c r="K800" s="512" t="b">
        <v>0</v>
      </c>
      <c r="L800" s="512">
        <v>1</v>
      </c>
      <c r="M800" s="513">
        <v>2023</v>
      </c>
      <c r="N800" s="514">
        <v>0</v>
      </c>
      <c r="O800" s="515">
        <v>44620</v>
      </c>
      <c r="P800" s="515">
        <v>44620</v>
      </c>
      <c r="Q800" s="516">
        <v>0</v>
      </c>
    </row>
    <row r="801" spans="1:17" ht="16.5">
      <c r="A801" s="9">
        <v>2022</v>
      </c>
      <c r="B801" s="10" t="s">
        <v>748</v>
      </c>
      <c r="C801" s="511" t="s">
        <v>749</v>
      </c>
      <c r="D801" s="512">
        <v>218000</v>
      </c>
      <c r="E801" s="512">
        <v>0</v>
      </c>
      <c r="F801" s="512"/>
      <c r="G801" s="512">
        <v>92110</v>
      </c>
      <c r="H801" s="512" t="s">
        <v>286</v>
      </c>
      <c r="I801" s="512"/>
      <c r="J801" s="512" t="s">
        <v>236</v>
      </c>
      <c r="K801" s="512" t="b">
        <v>0</v>
      </c>
      <c r="L801" s="512">
        <v>2</v>
      </c>
      <c r="M801" s="513">
        <v>2024</v>
      </c>
      <c r="N801" s="514">
        <v>0</v>
      </c>
      <c r="O801" s="515">
        <v>44620</v>
      </c>
      <c r="P801" s="515">
        <v>44620</v>
      </c>
      <c r="Q801" s="516">
        <v>0</v>
      </c>
    </row>
    <row r="802" spans="1:17" ht="16.5">
      <c r="A802" s="9">
        <v>2022</v>
      </c>
      <c r="B802" s="10" t="s">
        <v>748</v>
      </c>
      <c r="C802" s="511" t="s">
        <v>749</v>
      </c>
      <c r="D802" s="512">
        <v>218000</v>
      </c>
      <c r="E802" s="512">
        <v>0</v>
      </c>
      <c r="F802" s="512"/>
      <c r="G802" s="512">
        <v>92110</v>
      </c>
      <c r="H802" s="512" t="s">
        <v>286</v>
      </c>
      <c r="I802" s="512"/>
      <c r="J802" s="512" t="s">
        <v>236</v>
      </c>
      <c r="K802" s="512" t="b">
        <v>0</v>
      </c>
      <c r="L802" s="512">
        <v>0</v>
      </c>
      <c r="M802" s="513">
        <v>2022</v>
      </c>
      <c r="N802" s="514">
        <v>2790427</v>
      </c>
      <c r="O802" s="515">
        <v>44620</v>
      </c>
      <c r="P802" s="515">
        <v>44620</v>
      </c>
      <c r="Q802" s="516">
        <v>0</v>
      </c>
    </row>
    <row r="803" spans="1:17" ht="16.5">
      <c r="A803" s="9">
        <v>2022</v>
      </c>
      <c r="B803" s="10" t="s">
        <v>748</v>
      </c>
      <c r="C803" s="511" t="s">
        <v>749</v>
      </c>
      <c r="D803" s="512">
        <v>218000</v>
      </c>
      <c r="E803" s="512">
        <v>0</v>
      </c>
      <c r="F803" s="512"/>
      <c r="G803" s="512">
        <v>92110</v>
      </c>
      <c r="H803" s="512" t="s">
        <v>286</v>
      </c>
      <c r="I803" s="512"/>
      <c r="J803" s="512" t="s">
        <v>236</v>
      </c>
      <c r="K803" s="512" t="b">
        <v>0</v>
      </c>
      <c r="L803" s="512">
        <v>7</v>
      </c>
      <c r="M803" s="513">
        <v>2029</v>
      </c>
      <c r="N803" s="514">
        <v>0</v>
      </c>
      <c r="O803" s="515">
        <v>44620</v>
      </c>
      <c r="P803" s="515">
        <v>44620</v>
      </c>
      <c r="Q803" s="516">
        <v>0</v>
      </c>
    </row>
    <row r="804" spans="1:17" ht="16.5">
      <c r="A804" s="9">
        <v>2022</v>
      </c>
      <c r="B804" s="10" t="s">
        <v>748</v>
      </c>
      <c r="C804" s="511" t="s">
        <v>749</v>
      </c>
      <c r="D804" s="512">
        <v>218000</v>
      </c>
      <c r="E804" s="512">
        <v>0</v>
      </c>
      <c r="F804" s="512"/>
      <c r="G804" s="512">
        <v>92110</v>
      </c>
      <c r="H804" s="512" t="s">
        <v>286</v>
      </c>
      <c r="I804" s="512"/>
      <c r="J804" s="512" t="s">
        <v>236</v>
      </c>
      <c r="K804" s="512" t="b">
        <v>0</v>
      </c>
      <c r="L804" s="512">
        <v>8</v>
      </c>
      <c r="M804" s="513">
        <v>2030</v>
      </c>
      <c r="N804" s="514">
        <v>0</v>
      </c>
      <c r="O804" s="515">
        <v>44620</v>
      </c>
      <c r="P804" s="515">
        <v>44620</v>
      </c>
      <c r="Q804" s="516">
        <v>0</v>
      </c>
    </row>
    <row r="805" spans="1:17" ht="16.5">
      <c r="A805" s="9">
        <v>2022</v>
      </c>
      <c r="B805" s="10" t="s">
        <v>748</v>
      </c>
      <c r="C805" s="511" t="s">
        <v>749</v>
      </c>
      <c r="D805" s="512">
        <v>218000</v>
      </c>
      <c r="E805" s="512">
        <v>0</v>
      </c>
      <c r="F805" s="512"/>
      <c r="G805" s="512">
        <v>92110</v>
      </c>
      <c r="H805" s="512" t="s">
        <v>286</v>
      </c>
      <c r="I805" s="512"/>
      <c r="J805" s="512" t="s">
        <v>236</v>
      </c>
      <c r="K805" s="512" t="b">
        <v>0</v>
      </c>
      <c r="L805" s="512">
        <v>3</v>
      </c>
      <c r="M805" s="513">
        <v>2025</v>
      </c>
      <c r="N805" s="514">
        <v>0</v>
      </c>
      <c r="O805" s="515">
        <v>44620</v>
      </c>
      <c r="P805" s="515">
        <v>44620</v>
      </c>
      <c r="Q805" s="516">
        <v>0</v>
      </c>
    </row>
    <row r="806" spans="1:17" ht="16.5">
      <c r="A806" s="9">
        <v>2022</v>
      </c>
      <c r="B806" s="10" t="s">
        <v>748</v>
      </c>
      <c r="C806" s="511" t="s">
        <v>749</v>
      </c>
      <c r="D806" s="512">
        <v>218000</v>
      </c>
      <c r="E806" s="512">
        <v>0</v>
      </c>
      <c r="F806" s="512"/>
      <c r="G806" s="512">
        <v>92110</v>
      </c>
      <c r="H806" s="512" t="s">
        <v>286</v>
      </c>
      <c r="I806" s="512"/>
      <c r="J806" s="512" t="s">
        <v>236</v>
      </c>
      <c r="K806" s="512" t="b">
        <v>0</v>
      </c>
      <c r="L806" s="512">
        <v>6</v>
      </c>
      <c r="M806" s="513">
        <v>2028</v>
      </c>
      <c r="N806" s="514">
        <v>0</v>
      </c>
      <c r="O806" s="515">
        <v>44620</v>
      </c>
      <c r="P806" s="515">
        <v>44620</v>
      </c>
      <c r="Q806" s="516">
        <v>0</v>
      </c>
    </row>
    <row r="807" spans="1:17" ht="16.5">
      <c r="A807" s="9">
        <v>2022</v>
      </c>
      <c r="B807" s="10" t="s">
        <v>748</v>
      </c>
      <c r="C807" s="511" t="s">
        <v>749</v>
      </c>
      <c r="D807" s="512">
        <v>218000</v>
      </c>
      <c r="E807" s="512">
        <v>0</v>
      </c>
      <c r="F807" s="512"/>
      <c r="G807" s="512">
        <v>92110</v>
      </c>
      <c r="H807" s="512" t="s">
        <v>286</v>
      </c>
      <c r="I807" s="512"/>
      <c r="J807" s="512" t="s">
        <v>236</v>
      </c>
      <c r="K807" s="512" t="b">
        <v>0</v>
      </c>
      <c r="L807" s="512">
        <v>5</v>
      </c>
      <c r="M807" s="513">
        <v>2027</v>
      </c>
      <c r="N807" s="514">
        <v>0</v>
      </c>
      <c r="O807" s="515">
        <v>44620</v>
      </c>
      <c r="P807" s="515">
        <v>44620</v>
      </c>
      <c r="Q807" s="516">
        <v>0</v>
      </c>
    </row>
    <row r="808" spans="1:17" ht="16.5">
      <c r="A808" s="9">
        <v>2022</v>
      </c>
      <c r="B808" s="10" t="s">
        <v>748</v>
      </c>
      <c r="C808" s="511" t="s">
        <v>749</v>
      </c>
      <c r="D808" s="512">
        <v>218000</v>
      </c>
      <c r="E808" s="512">
        <v>0</v>
      </c>
      <c r="F808" s="512"/>
      <c r="G808" s="512">
        <v>92110</v>
      </c>
      <c r="H808" s="512" t="s">
        <v>286</v>
      </c>
      <c r="I808" s="512"/>
      <c r="J808" s="512" t="s">
        <v>236</v>
      </c>
      <c r="K808" s="512" t="b">
        <v>0</v>
      </c>
      <c r="L808" s="512">
        <v>4</v>
      </c>
      <c r="M808" s="513">
        <v>2026</v>
      </c>
      <c r="N808" s="514">
        <v>0</v>
      </c>
      <c r="O808" s="515">
        <v>44620</v>
      </c>
      <c r="P808" s="515">
        <v>44620</v>
      </c>
      <c r="Q808" s="516">
        <v>0</v>
      </c>
    </row>
    <row r="809" spans="1:17" ht="16.5">
      <c r="A809" s="9">
        <v>2022</v>
      </c>
      <c r="B809" s="10" t="s">
        <v>748</v>
      </c>
      <c r="C809" s="511" t="s">
        <v>749</v>
      </c>
      <c r="D809" s="512">
        <v>218000</v>
      </c>
      <c r="E809" s="512">
        <v>0</v>
      </c>
      <c r="F809" s="512"/>
      <c r="G809" s="512">
        <v>92110</v>
      </c>
      <c r="H809" s="512" t="s">
        <v>286</v>
      </c>
      <c r="I809" s="512"/>
      <c r="J809" s="512" t="s">
        <v>236</v>
      </c>
      <c r="K809" s="512" t="b">
        <v>0</v>
      </c>
      <c r="L809" s="512">
        <v>9</v>
      </c>
      <c r="M809" s="513">
        <v>2031</v>
      </c>
      <c r="N809" s="514">
        <v>0</v>
      </c>
      <c r="O809" s="515">
        <v>44620</v>
      </c>
      <c r="P809" s="515">
        <v>44620</v>
      </c>
      <c r="Q809" s="516">
        <v>0</v>
      </c>
    </row>
    <row r="810" spans="1:17" ht="16.5">
      <c r="A810" s="9">
        <v>2022</v>
      </c>
      <c r="B810" s="10" t="s">
        <v>748</v>
      </c>
      <c r="C810" s="511" t="s">
        <v>749</v>
      </c>
      <c r="D810" s="512">
        <v>218000</v>
      </c>
      <c r="E810" s="512">
        <v>0</v>
      </c>
      <c r="F810" s="512"/>
      <c r="G810" s="512">
        <v>92110</v>
      </c>
      <c r="H810" s="512" t="s">
        <v>286</v>
      </c>
      <c r="I810" s="512"/>
      <c r="J810" s="512" t="s">
        <v>236</v>
      </c>
      <c r="K810" s="512" t="b">
        <v>0</v>
      </c>
      <c r="L810" s="512">
        <v>10</v>
      </c>
      <c r="M810" s="513">
        <v>2032</v>
      </c>
      <c r="N810" s="514">
        <v>0</v>
      </c>
      <c r="O810" s="515">
        <v>44620</v>
      </c>
      <c r="P810" s="515">
        <v>44620</v>
      </c>
      <c r="Q810" s="516">
        <v>0</v>
      </c>
    </row>
    <row r="811" spans="1:17" ht="16.5">
      <c r="A811" s="9">
        <v>2022</v>
      </c>
      <c r="B811" s="10" t="s">
        <v>748</v>
      </c>
      <c r="C811" s="511" t="s">
        <v>749</v>
      </c>
      <c r="D811" s="512">
        <v>218000</v>
      </c>
      <c r="E811" s="512">
        <v>0</v>
      </c>
      <c r="F811" s="512"/>
      <c r="G811" s="512">
        <v>108000</v>
      </c>
      <c r="H811" s="512">
        <v>10.8</v>
      </c>
      <c r="I811" s="512"/>
      <c r="J811" s="512" t="s">
        <v>259</v>
      </c>
      <c r="K811" s="512" t="b">
        <v>1</v>
      </c>
      <c r="L811" s="512">
        <v>5</v>
      </c>
      <c r="M811" s="513">
        <v>2027</v>
      </c>
      <c r="N811" s="514">
        <v>0</v>
      </c>
      <c r="O811" s="515">
        <v>44620</v>
      </c>
      <c r="P811" s="515">
        <v>44620</v>
      </c>
      <c r="Q811" s="516">
        <v>0</v>
      </c>
    </row>
    <row r="812" spans="1:17" ht="16.5">
      <c r="A812" s="9">
        <v>2022</v>
      </c>
      <c r="B812" s="10" t="s">
        <v>748</v>
      </c>
      <c r="C812" s="511" t="s">
        <v>749</v>
      </c>
      <c r="D812" s="512">
        <v>218000</v>
      </c>
      <c r="E812" s="512">
        <v>0</v>
      </c>
      <c r="F812" s="512"/>
      <c r="G812" s="512">
        <v>108000</v>
      </c>
      <c r="H812" s="512">
        <v>10.8</v>
      </c>
      <c r="I812" s="512"/>
      <c r="J812" s="512" t="s">
        <v>259</v>
      </c>
      <c r="K812" s="512" t="b">
        <v>1</v>
      </c>
      <c r="L812" s="512">
        <v>9</v>
      </c>
      <c r="M812" s="513">
        <v>2031</v>
      </c>
      <c r="N812" s="514">
        <v>0</v>
      </c>
      <c r="O812" s="515">
        <v>44620</v>
      </c>
      <c r="P812" s="515">
        <v>44620</v>
      </c>
      <c r="Q812" s="516">
        <v>0</v>
      </c>
    </row>
    <row r="813" spans="1:17" ht="16.5">
      <c r="A813" s="9">
        <v>2022</v>
      </c>
      <c r="B813" s="10" t="s">
        <v>748</v>
      </c>
      <c r="C813" s="511" t="s">
        <v>749</v>
      </c>
      <c r="D813" s="512">
        <v>218000</v>
      </c>
      <c r="E813" s="512">
        <v>0</v>
      </c>
      <c r="F813" s="512"/>
      <c r="G813" s="512">
        <v>108000</v>
      </c>
      <c r="H813" s="512">
        <v>10.8</v>
      </c>
      <c r="I813" s="512"/>
      <c r="J813" s="512" t="s">
        <v>259</v>
      </c>
      <c r="K813" s="512" t="b">
        <v>1</v>
      </c>
      <c r="L813" s="512">
        <v>0</v>
      </c>
      <c r="M813" s="513">
        <v>2022</v>
      </c>
      <c r="N813" s="514">
        <v>0</v>
      </c>
      <c r="O813" s="515">
        <v>44620</v>
      </c>
      <c r="P813" s="515">
        <v>44620</v>
      </c>
      <c r="Q813" s="516">
        <v>0</v>
      </c>
    </row>
    <row r="814" spans="1:17" ht="16.5">
      <c r="A814" s="9">
        <v>2022</v>
      </c>
      <c r="B814" s="10" t="s">
        <v>748</v>
      </c>
      <c r="C814" s="511" t="s">
        <v>749</v>
      </c>
      <c r="D814" s="512">
        <v>218000</v>
      </c>
      <c r="E814" s="512">
        <v>0</v>
      </c>
      <c r="F814" s="512"/>
      <c r="G814" s="512">
        <v>108000</v>
      </c>
      <c r="H814" s="512">
        <v>10.8</v>
      </c>
      <c r="I814" s="512"/>
      <c r="J814" s="512" t="s">
        <v>259</v>
      </c>
      <c r="K814" s="512" t="b">
        <v>1</v>
      </c>
      <c r="L814" s="512">
        <v>1</v>
      </c>
      <c r="M814" s="513">
        <v>2023</v>
      </c>
      <c r="N814" s="514">
        <v>0</v>
      </c>
      <c r="O814" s="515">
        <v>44620</v>
      </c>
      <c r="P814" s="515">
        <v>44620</v>
      </c>
      <c r="Q814" s="516">
        <v>0</v>
      </c>
    </row>
    <row r="815" spans="1:17" ht="16.5">
      <c r="A815" s="9">
        <v>2022</v>
      </c>
      <c r="B815" s="10" t="s">
        <v>748</v>
      </c>
      <c r="C815" s="511" t="s">
        <v>749</v>
      </c>
      <c r="D815" s="512">
        <v>218000</v>
      </c>
      <c r="E815" s="512">
        <v>0</v>
      </c>
      <c r="F815" s="512"/>
      <c r="G815" s="512">
        <v>108000</v>
      </c>
      <c r="H815" s="512">
        <v>10.8</v>
      </c>
      <c r="I815" s="512"/>
      <c r="J815" s="512" t="s">
        <v>259</v>
      </c>
      <c r="K815" s="512" t="b">
        <v>1</v>
      </c>
      <c r="L815" s="512">
        <v>8</v>
      </c>
      <c r="M815" s="513">
        <v>2030</v>
      </c>
      <c r="N815" s="514">
        <v>0</v>
      </c>
      <c r="O815" s="515">
        <v>44620</v>
      </c>
      <c r="P815" s="515">
        <v>44620</v>
      </c>
      <c r="Q815" s="516">
        <v>0</v>
      </c>
    </row>
    <row r="816" spans="1:17" ht="16.5">
      <c r="A816" s="9">
        <v>2022</v>
      </c>
      <c r="B816" s="10" t="s">
        <v>748</v>
      </c>
      <c r="C816" s="511" t="s">
        <v>749</v>
      </c>
      <c r="D816" s="512">
        <v>218000</v>
      </c>
      <c r="E816" s="512">
        <v>0</v>
      </c>
      <c r="F816" s="512"/>
      <c r="G816" s="512">
        <v>108000</v>
      </c>
      <c r="H816" s="512">
        <v>10.8</v>
      </c>
      <c r="I816" s="512"/>
      <c r="J816" s="512" t="s">
        <v>259</v>
      </c>
      <c r="K816" s="512" t="b">
        <v>1</v>
      </c>
      <c r="L816" s="512">
        <v>10</v>
      </c>
      <c r="M816" s="513">
        <v>2032</v>
      </c>
      <c r="N816" s="514">
        <v>0</v>
      </c>
      <c r="O816" s="515">
        <v>44620</v>
      </c>
      <c r="P816" s="515">
        <v>44620</v>
      </c>
      <c r="Q816" s="516">
        <v>0</v>
      </c>
    </row>
    <row r="817" spans="1:17" ht="16.5">
      <c r="A817" s="9">
        <v>2022</v>
      </c>
      <c r="B817" s="10" t="s">
        <v>748</v>
      </c>
      <c r="C817" s="511" t="s">
        <v>749</v>
      </c>
      <c r="D817" s="512">
        <v>218000</v>
      </c>
      <c r="E817" s="512">
        <v>0</v>
      </c>
      <c r="F817" s="512"/>
      <c r="G817" s="512">
        <v>108000</v>
      </c>
      <c r="H817" s="512">
        <v>10.8</v>
      </c>
      <c r="I817" s="512"/>
      <c r="J817" s="512" t="s">
        <v>259</v>
      </c>
      <c r="K817" s="512" t="b">
        <v>1</v>
      </c>
      <c r="L817" s="512">
        <v>4</v>
      </c>
      <c r="M817" s="513">
        <v>2026</v>
      </c>
      <c r="N817" s="514">
        <v>0</v>
      </c>
      <c r="O817" s="515">
        <v>44620</v>
      </c>
      <c r="P817" s="515">
        <v>44620</v>
      </c>
      <c r="Q817" s="516">
        <v>0</v>
      </c>
    </row>
    <row r="818" spans="1:17" ht="16.5">
      <c r="A818" s="9">
        <v>2022</v>
      </c>
      <c r="B818" s="10" t="s">
        <v>748</v>
      </c>
      <c r="C818" s="511" t="s">
        <v>749</v>
      </c>
      <c r="D818" s="512">
        <v>218000</v>
      </c>
      <c r="E818" s="512">
        <v>0</v>
      </c>
      <c r="F818" s="512"/>
      <c r="G818" s="512">
        <v>108000</v>
      </c>
      <c r="H818" s="512">
        <v>10.8</v>
      </c>
      <c r="I818" s="512"/>
      <c r="J818" s="512" t="s">
        <v>259</v>
      </c>
      <c r="K818" s="512" t="b">
        <v>1</v>
      </c>
      <c r="L818" s="512">
        <v>6</v>
      </c>
      <c r="M818" s="513">
        <v>2028</v>
      </c>
      <c r="N818" s="514">
        <v>0</v>
      </c>
      <c r="O818" s="515">
        <v>44620</v>
      </c>
      <c r="P818" s="515">
        <v>44620</v>
      </c>
      <c r="Q818" s="516">
        <v>0</v>
      </c>
    </row>
    <row r="819" spans="1:17" ht="16.5">
      <c r="A819" s="9">
        <v>2022</v>
      </c>
      <c r="B819" s="10" t="s">
        <v>748</v>
      </c>
      <c r="C819" s="511" t="s">
        <v>749</v>
      </c>
      <c r="D819" s="512">
        <v>218000</v>
      </c>
      <c r="E819" s="512">
        <v>0</v>
      </c>
      <c r="F819" s="512"/>
      <c r="G819" s="512">
        <v>108000</v>
      </c>
      <c r="H819" s="512">
        <v>10.8</v>
      </c>
      <c r="I819" s="512"/>
      <c r="J819" s="512" t="s">
        <v>259</v>
      </c>
      <c r="K819" s="512" t="b">
        <v>1</v>
      </c>
      <c r="L819" s="512">
        <v>7</v>
      </c>
      <c r="M819" s="513">
        <v>2029</v>
      </c>
      <c r="N819" s="514">
        <v>0</v>
      </c>
      <c r="O819" s="515">
        <v>44620</v>
      </c>
      <c r="P819" s="515">
        <v>44620</v>
      </c>
      <c r="Q819" s="516">
        <v>0</v>
      </c>
    </row>
    <row r="820" spans="1:17" ht="16.5">
      <c r="A820" s="9">
        <v>2022</v>
      </c>
      <c r="B820" s="10" t="s">
        <v>748</v>
      </c>
      <c r="C820" s="511" t="s">
        <v>749</v>
      </c>
      <c r="D820" s="512">
        <v>218000</v>
      </c>
      <c r="E820" s="512">
        <v>0</v>
      </c>
      <c r="F820" s="512"/>
      <c r="G820" s="512">
        <v>108000</v>
      </c>
      <c r="H820" s="512">
        <v>10.8</v>
      </c>
      <c r="I820" s="512"/>
      <c r="J820" s="512" t="s">
        <v>259</v>
      </c>
      <c r="K820" s="512" t="b">
        <v>1</v>
      </c>
      <c r="L820" s="512">
        <v>3</v>
      </c>
      <c r="M820" s="513">
        <v>2025</v>
      </c>
      <c r="N820" s="514">
        <v>0</v>
      </c>
      <c r="O820" s="515">
        <v>44620</v>
      </c>
      <c r="P820" s="515">
        <v>44620</v>
      </c>
      <c r="Q820" s="516">
        <v>0</v>
      </c>
    </row>
    <row r="821" spans="1:17" ht="16.5">
      <c r="A821" s="9">
        <v>2022</v>
      </c>
      <c r="B821" s="10" t="s">
        <v>748</v>
      </c>
      <c r="C821" s="511" t="s">
        <v>749</v>
      </c>
      <c r="D821" s="512">
        <v>218000</v>
      </c>
      <c r="E821" s="512">
        <v>0</v>
      </c>
      <c r="F821" s="512"/>
      <c r="G821" s="512">
        <v>108000</v>
      </c>
      <c r="H821" s="512">
        <v>10.8</v>
      </c>
      <c r="I821" s="512"/>
      <c r="J821" s="512" t="s">
        <v>259</v>
      </c>
      <c r="K821" s="512" t="b">
        <v>1</v>
      </c>
      <c r="L821" s="512">
        <v>2</v>
      </c>
      <c r="M821" s="513">
        <v>2024</v>
      </c>
      <c r="N821" s="514">
        <v>0</v>
      </c>
      <c r="O821" s="515">
        <v>44620</v>
      </c>
      <c r="P821" s="515">
        <v>44620</v>
      </c>
      <c r="Q821" s="516">
        <v>0</v>
      </c>
    </row>
    <row r="822" spans="1:17" ht="16.5">
      <c r="A822" s="9">
        <v>2022</v>
      </c>
      <c r="B822" s="10" t="s">
        <v>748</v>
      </c>
      <c r="C822" s="511" t="s">
        <v>749</v>
      </c>
      <c r="D822" s="512">
        <v>218000</v>
      </c>
      <c r="E822" s="512">
        <v>0</v>
      </c>
      <c r="F822" s="512"/>
      <c r="G822" s="512">
        <v>108000</v>
      </c>
      <c r="H822" s="512">
        <v>10.8</v>
      </c>
      <c r="I822" s="512"/>
      <c r="J822" s="512" t="s">
        <v>259</v>
      </c>
      <c r="K822" s="512" t="b">
        <v>1</v>
      </c>
      <c r="L822" s="512">
        <v>11</v>
      </c>
      <c r="M822" s="513">
        <v>2033</v>
      </c>
      <c r="N822" s="514">
        <v>0</v>
      </c>
      <c r="O822" s="515">
        <v>44620</v>
      </c>
      <c r="P822" s="515">
        <v>44620</v>
      </c>
      <c r="Q822" s="516">
        <v>0</v>
      </c>
    </row>
    <row r="823" spans="1:17" ht="16.5">
      <c r="A823" s="9">
        <v>2022</v>
      </c>
      <c r="B823" s="10" t="s">
        <v>748</v>
      </c>
      <c r="C823" s="511" t="s">
        <v>749</v>
      </c>
      <c r="D823" s="512">
        <v>218000</v>
      </c>
      <c r="E823" s="512">
        <v>0</v>
      </c>
      <c r="F823" s="512"/>
      <c r="G823" s="512">
        <v>12200</v>
      </c>
      <c r="H823" s="512" t="s">
        <v>38</v>
      </c>
      <c r="I823" s="512"/>
      <c r="J823" s="512" t="s">
        <v>191</v>
      </c>
      <c r="K823" s="512" t="b">
        <v>1</v>
      </c>
      <c r="L823" s="512">
        <v>1</v>
      </c>
      <c r="M823" s="513">
        <v>2023</v>
      </c>
      <c r="N823" s="514">
        <v>22250000</v>
      </c>
      <c r="O823" s="515">
        <v>44620</v>
      </c>
      <c r="P823" s="515">
        <v>44620</v>
      </c>
      <c r="Q823" s="516">
        <v>0</v>
      </c>
    </row>
    <row r="824" spans="1:17" ht="16.5">
      <c r="A824" s="9">
        <v>2022</v>
      </c>
      <c r="B824" s="10" t="s">
        <v>748</v>
      </c>
      <c r="C824" s="511" t="s">
        <v>749</v>
      </c>
      <c r="D824" s="512">
        <v>218000</v>
      </c>
      <c r="E824" s="512">
        <v>0</v>
      </c>
      <c r="F824" s="512"/>
      <c r="G824" s="512">
        <v>12200</v>
      </c>
      <c r="H824" s="512" t="s">
        <v>38</v>
      </c>
      <c r="I824" s="512"/>
      <c r="J824" s="512" t="s">
        <v>191</v>
      </c>
      <c r="K824" s="512" t="b">
        <v>1</v>
      </c>
      <c r="L824" s="512">
        <v>11</v>
      </c>
      <c r="M824" s="513">
        <v>2033</v>
      </c>
      <c r="N824" s="514">
        <v>0</v>
      </c>
      <c r="O824" s="515">
        <v>44620</v>
      </c>
      <c r="P824" s="515">
        <v>44620</v>
      </c>
      <c r="Q824" s="516">
        <v>0</v>
      </c>
    </row>
    <row r="825" spans="1:17" ht="16.5">
      <c r="A825" s="9">
        <v>2022</v>
      </c>
      <c r="B825" s="10" t="s">
        <v>748</v>
      </c>
      <c r="C825" s="511" t="s">
        <v>749</v>
      </c>
      <c r="D825" s="512">
        <v>218000</v>
      </c>
      <c r="E825" s="512">
        <v>0</v>
      </c>
      <c r="F825" s="512"/>
      <c r="G825" s="512">
        <v>12200</v>
      </c>
      <c r="H825" s="512" t="s">
        <v>38</v>
      </c>
      <c r="I825" s="512"/>
      <c r="J825" s="512" t="s">
        <v>191</v>
      </c>
      <c r="K825" s="512" t="b">
        <v>1</v>
      </c>
      <c r="L825" s="512">
        <v>6</v>
      </c>
      <c r="M825" s="513">
        <v>2028</v>
      </c>
      <c r="N825" s="514">
        <v>500000</v>
      </c>
      <c r="O825" s="515">
        <v>44620</v>
      </c>
      <c r="P825" s="515">
        <v>44620</v>
      </c>
      <c r="Q825" s="516">
        <v>0</v>
      </c>
    </row>
    <row r="826" spans="1:17" ht="16.5">
      <c r="A826" s="9">
        <v>2022</v>
      </c>
      <c r="B826" s="10" t="s">
        <v>748</v>
      </c>
      <c r="C826" s="511" t="s">
        <v>749</v>
      </c>
      <c r="D826" s="512">
        <v>218000</v>
      </c>
      <c r="E826" s="512">
        <v>0</v>
      </c>
      <c r="F826" s="512"/>
      <c r="G826" s="512">
        <v>12200</v>
      </c>
      <c r="H826" s="512" t="s">
        <v>38</v>
      </c>
      <c r="I826" s="512"/>
      <c r="J826" s="512" t="s">
        <v>191</v>
      </c>
      <c r="K826" s="512" t="b">
        <v>1</v>
      </c>
      <c r="L826" s="512">
        <v>2</v>
      </c>
      <c r="M826" s="513">
        <v>2024</v>
      </c>
      <c r="N826" s="514">
        <v>500000</v>
      </c>
      <c r="O826" s="515">
        <v>44620</v>
      </c>
      <c r="P826" s="515">
        <v>44620</v>
      </c>
      <c r="Q826" s="516">
        <v>0</v>
      </c>
    </row>
    <row r="827" spans="1:17" ht="16.5">
      <c r="A827" s="9">
        <v>2022</v>
      </c>
      <c r="B827" s="10" t="s">
        <v>748</v>
      </c>
      <c r="C827" s="511" t="s">
        <v>749</v>
      </c>
      <c r="D827" s="512">
        <v>218000</v>
      </c>
      <c r="E827" s="512">
        <v>0</v>
      </c>
      <c r="F827" s="512"/>
      <c r="G827" s="512">
        <v>12200</v>
      </c>
      <c r="H827" s="512" t="s">
        <v>38</v>
      </c>
      <c r="I827" s="512"/>
      <c r="J827" s="512" t="s">
        <v>191</v>
      </c>
      <c r="K827" s="512" t="b">
        <v>1</v>
      </c>
      <c r="L827" s="512">
        <v>4</v>
      </c>
      <c r="M827" s="513">
        <v>2026</v>
      </c>
      <c r="N827" s="514">
        <v>500000</v>
      </c>
      <c r="O827" s="515">
        <v>44620</v>
      </c>
      <c r="P827" s="515">
        <v>44620</v>
      </c>
      <c r="Q827" s="516">
        <v>0</v>
      </c>
    </row>
    <row r="828" spans="1:17" ht="16.5">
      <c r="A828" s="9">
        <v>2022</v>
      </c>
      <c r="B828" s="10" t="s">
        <v>748</v>
      </c>
      <c r="C828" s="511" t="s">
        <v>749</v>
      </c>
      <c r="D828" s="512">
        <v>218000</v>
      </c>
      <c r="E828" s="512">
        <v>0</v>
      </c>
      <c r="F828" s="512"/>
      <c r="G828" s="512">
        <v>12200</v>
      </c>
      <c r="H828" s="512" t="s">
        <v>38</v>
      </c>
      <c r="I828" s="512"/>
      <c r="J828" s="512" t="s">
        <v>191</v>
      </c>
      <c r="K828" s="512" t="b">
        <v>1</v>
      </c>
      <c r="L828" s="512">
        <v>9</v>
      </c>
      <c r="M828" s="513">
        <v>2031</v>
      </c>
      <c r="N828" s="514">
        <v>500000</v>
      </c>
      <c r="O828" s="515">
        <v>44620</v>
      </c>
      <c r="P828" s="515">
        <v>44620</v>
      </c>
      <c r="Q828" s="516">
        <v>0</v>
      </c>
    </row>
    <row r="829" spans="1:17" ht="16.5">
      <c r="A829" s="9">
        <v>2022</v>
      </c>
      <c r="B829" s="10" t="s">
        <v>748</v>
      </c>
      <c r="C829" s="511" t="s">
        <v>749</v>
      </c>
      <c r="D829" s="512">
        <v>218000</v>
      </c>
      <c r="E829" s="512">
        <v>0</v>
      </c>
      <c r="F829" s="512"/>
      <c r="G829" s="512">
        <v>12200</v>
      </c>
      <c r="H829" s="512" t="s">
        <v>38</v>
      </c>
      <c r="I829" s="512"/>
      <c r="J829" s="512" t="s">
        <v>191</v>
      </c>
      <c r="K829" s="512" t="b">
        <v>1</v>
      </c>
      <c r="L829" s="512">
        <v>5</v>
      </c>
      <c r="M829" s="513">
        <v>2027</v>
      </c>
      <c r="N829" s="514">
        <v>500000</v>
      </c>
      <c r="O829" s="515">
        <v>44620</v>
      </c>
      <c r="P829" s="515">
        <v>44620</v>
      </c>
      <c r="Q829" s="516">
        <v>0</v>
      </c>
    </row>
    <row r="830" spans="1:17" ht="16.5">
      <c r="A830" s="9">
        <v>2022</v>
      </c>
      <c r="B830" s="10" t="s">
        <v>748</v>
      </c>
      <c r="C830" s="511" t="s">
        <v>749</v>
      </c>
      <c r="D830" s="512">
        <v>218000</v>
      </c>
      <c r="E830" s="512">
        <v>0</v>
      </c>
      <c r="F830" s="512"/>
      <c r="G830" s="512">
        <v>12200</v>
      </c>
      <c r="H830" s="512" t="s">
        <v>38</v>
      </c>
      <c r="I830" s="512"/>
      <c r="J830" s="512" t="s">
        <v>191</v>
      </c>
      <c r="K830" s="512" t="b">
        <v>1</v>
      </c>
      <c r="L830" s="512">
        <v>0</v>
      </c>
      <c r="M830" s="513">
        <v>2022</v>
      </c>
      <c r="N830" s="514">
        <v>10785085</v>
      </c>
      <c r="O830" s="515">
        <v>44620</v>
      </c>
      <c r="P830" s="515">
        <v>44620</v>
      </c>
      <c r="Q830" s="516">
        <v>0</v>
      </c>
    </row>
    <row r="831" spans="1:17" ht="16.5">
      <c r="A831" s="9">
        <v>2022</v>
      </c>
      <c r="B831" s="10" t="s">
        <v>748</v>
      </c>
      <c r="C831" s="511" t="s">
        <v>749</v>
      </c>
      <c r="D831" s="512">
        <v>218000</v>
      </c>
      <c r="E831" s="512">
        <v>0</v>
      </c>
      <c r="F831" s="512"/>
      <c r="G831" s="512">
        <v>12200</v>
      </c>
      <c r="H831" s="512" t="s">
        <v>38</v>
      </c>
      <c r="I831" s="512"/>
      <c r="J831" s="512" t="s">
        <v>191</v>
      </c>
      <c r="K831" s="512" t="b">
        <v>1</v>
      </c>
      <c r="L831" s="512">
        <v>10</v>
      </c>
      <c r="M831" s="513">
        <v>2032</v>
      </c>
      <c r="N831" s="514">
        <v>0</v>
      </c>
      <c r="O831" s="515">
        <v>44620</v>
      </c>
      <c r="P831" s="515">
        <v>44620</v>
      </c>
      <c r="Q831" s="516">
        <v>0</v>
      </c>
    </row>
    <row r="832" spans="1:17" ht="16.5">
      <c r="A832" s="9">
        <v>2022</v>
      </c>
      <c r="B832" s="10" t="s">
        <v>748</v>
      </c>
      <c r="C832" s="511" t="s">
        <v>749</v>
      </c>
      <c r="D832" s="512">
        <v>218000</v>
      </c>
      <c r="E832" s="512">
        <v>0</v>
      </c>
      <c r="F832" s="512"/>
      <c r="G832" s="512">
        <v>12200</v>
      </c>
      <c r="H832" s="512" t="s">
        <v>38</v>
      </c>
      <c r="I832" s="512"/>
      <c r="J832" s="512" t="s">
        <v>191</v>
      </c>
      <c r="K832" s="512" t="b">
        <v>1</v>
      </c>
      <c r="L832" s="512">
        <v>7</v>
      </c>
      <c r="M832" s="513">
        <v>2029</v>
      </c>
      <c r="N832" s="514">
        <v>500000</v>
      </c>
      <c r="O832" s="515">
        <v>44620</v>
      </c>
      <c r="P832" s="515">
        <v>44620</v>
      </c>
      <c r="Q832" s="516">
        <v>0</v>
      </c>
    </row>
    <row r="833" spans="1:17" ht="16.5">
      <c r="A833" s="9">
        <v>2022</v>
      </c>
      <c r="B833" s="10" t="s">
        <v>748</v>
      </c>
      <c r="C833" s="511" t="s">
        <v>749</v>
      </c>
      <c r="D833" s="512">
        <v>218000</v>
      </c>
      <c r="E833" s="512">
        <v>0</v>
      </c>
      <c r="F833" s="512"/>
      <c r="G833" s="512">
        <v>12200</v>
      </c>
      <c r="H833" s="512" t="s">
        <v>38</v>
      </c>
      <c r="I833" s="512"/>
      <c r="J833" s="512" t="s">
        <v>191</v>
      </c>
      <c r="K833" s="512" t="b">
        <v>1</v>
      </c>
      <c r="L833" s="512">
        <v>8</v>
      </c>
      <c r="M833" s="513">
        <v>2030</v>
      </c>
      <c r="N833" s="514">
        <v>500000</v>
      </c>
      <c r="O833" s="515">
        <v>44620</v>
      </c>
      <c r="P833" s="515">
        <v>44620</v>
      </c>
      <c r="Q833" s="516">
        <v>0</v>
      </c>
    </row>
    <row r="834" spans="1:17" ht="16.5">
      <c r="A834" s="9">
        <v>2022</v>
      </c>
      <c r="B834" s="10" t="s">
        <v>748</v>
      </c>
      <c r="C834" s="511" t="s">
        <v>749</v>
      </c>
      <c r="D834" s="512">
        <v>218000</v>
      </c>
      <c r="E834" s="512">
        <v>0</v>
      </c>
      <c r="F834" s="512"/>
      <c r="G834" s="512">
        <v>12200</v>
      </c>
      <c r="H834" s="512" t="s">
        <v>38</v>
      </c>
      <c r="I834" s="512"/>
      <c r="J834" s="512" t="s">
        <v>191</v>
      </c>
      <c r="K834" s="512" t="b">
        <v>1</v>
      </c>
      <c r="L834" s="512">
        <v>3</v>
      </c>
      <c r="M834" s="513">
        <v>2025</v>
      </c>
      <c r="N834" s="514">
        <v>500000</v>
      </c>
      <c r="O834" s="515">
        <v>44620</v>
      </c>
      <c r="P834" s="515">
        <v>44620</v>
      </c>
      <c r="Q834" s="516">
        <v>0</v>
      </c>
    </row>
    <row r="835" spans="1:17" ht="16.5">
      <c r="A835" s="9">
        <v>2022</v>
      </c>
      <c r="B835" s="10" t="s">
        <v>748</v>
      </c>
      <c r="C835" s="511" t="s">
        <v>749</v>
      </c>
      <c r="D835" s="512">
        <v>218000</v>
      </c>
      <c r="E835" s="512">
        <v>0</v>
      </c>
      <c r="F835" s="512"/>
      <c r="G835" s="512">
        <v>109100</v>
      </c>
      <c r="H835" s="512">
        <v>10.1</v>
      </c>
      <c r="I835" s="512"/>
      <c r="J835" s="512" t="s">
        <v>776</v>
      </c>
      <c r="K835" s="512" t="b">
        <v>1</v>
      </c>
      <c r="L835" s="512">
        <v>1</v>
      </c>
      <c r="M835" s="513">
        <v>2023</v>
      </c>
      <c r="N835" s="514">
        <v>0</v>
      </c>
      <c r="O835" s="515">
        <v>44620</v>
      </c>
      <c r="P835" s="515">
        <v>44620</v>
      </c>
      <c r="Q835" s="516">
        <v>0</v>
      </c>
    </row>
    <row r="836" spans="1:17" ht="16.5">
      <c r="A836" s="9">
        <v>2022</v>
      </c>
      <c r="B836" s="10" t="s">
        <v>748</v>
      </c>
      <c r="C836" s="511" t="s">
        <v>749</v>
      </c>
      <c r="D836" s="512">
        <v>218000</v>
      </c>
      <c r="E836" s="512">
        <v>0</v>
      </c>
      <c r="F836" s="512"/>
      <c r="G836" s="512">
        <v>109100</v>
      </c>
      <c r="H836" s="512">
        <v>10.1</v>
      </c>
      <c r="I836" s="512"/>
      <c r="J836" s="512" t="s">
        <v>776</v>
      </c>
      <c r="K836" s="512" t="b">
        <v>1</v>
      </c>
      <c r="L836" s="512">
        <v>8</v>
      </c>
      <c r="M836" s="513">
        <v>2030</v>
      </c>
      <c r="N836" s="514">
        <v>0</v>
      </c>
      <c r="O836" s="515">
        <v>44620</v>
      </c>
      <c r="P836" s="515">
        <v>44620</v>
      </c>
      <c r="Q836" s="516">
        <v>0</v>
      </c>
    </row>
    <row r="837" spans="1:17" ht="16.5">
      <c r="A837" s="9">
        <v>2022</v>
      </c>
      <c r="B837" s="10" t="s">
        <v>748</v>
      </c>
      <c r="C837" s="511" t="s">
        <v>749</v>
      </c>
      <c r="D837" s="512">
        <v>218000</v>
      </c>
      <c r="E837" s="512">
        <v>0</v>
      </c>
      <c r="F837" s="512"/>
      <c r="G837" s="512">
        <v>109100</v>
      </c>
      <c r="H837" s="512">
        <v>10.1</v>
      </c>
      <c r="I837" s="512"/>
      <c r="J837" s="512" t="s">
        <v>776</v>
      </c>
      <c r="K837" s="512" t="b">
        <v>1</v>
      </c>
      <c r="L837" s="512">
        <v>10</v>
      </c>
      <c r="M837" s="513">
        <v>2032</v>
      </c>
      <c r="N837" s="514">
        <v>0</v>
      </c>
      <c r="O837" s="515">
        <v>44620</v>
      </c>
      <c r="P837" s="515">
        <v>44620</v>
      </c>
      <c r="Q837" s="516">
        <v>0</v>
      </c>
    </row>
    <row r="838" spans="1:17" ht="16.5">
      <c r="A838" s="9">
        <v>2022</v>
      </c>
      <c r="B838" s="10" t="s">
        <v>748</v>
      </c>
      <c r="C838" s="511" t="s">
        <v>749</v>
      </c>
      <c r="D838" s="512">
        <v>218000</v>
      </c>
      <c r="E838" s="512">
        <v>0</v>
      </c>
      <c r="F838" s="512"/>
      <c r="G838" s="512">
        <v>109100</v>
      </c>
      <c r="H838" s="512">
        <v>10.1</v>
      </c>
      <c r="I838" s="512"/>
      <c r="J838" s="512" t="s">
        <v>776</v>
      </c>
      <c r="K838" s="512" t="b">
        <v>1</v>
      </c>
      <c r="L838" s="512">
        <v>7</v>
      </c>
      <c r="M838" s="513">
        <v>2029</v>
      </c>
      <c r="N838" s="514">
        <v>0</v>
      </c>
      <c r="O838" s="515">
        <v>44620</v>
      </c>
      <c r="P838" s="515">
        <v>44620</v>
      </c>
      <c r="Q838" s="516">
        <v>0</v>
      </c>
    </row>
    <row r="839" spans="1:17" ht="16.5">
      <c r="A839" s="9">
        <v>2022</v>
      </c>
      <c r="B839" s="10" t="s">
        <v>748</v>
      </c>
      <c r="C839" s="511" t="s">
        <v>749</v>
      </c>
      <c r="D839" s="512">
        <v>218000</v>
      </c>
      <c r="E839" s="512">
        <v>0</v>
      </c>
      <c r="F839" s="512"/>
      <c r="G839" s="512">
        <v>109100</v>
      </c>
      <c r="H839" s="512">
        <v>10.1</v>
      </c>
      <c r="I839" s="512"/>
      <c r="J839" s="512" t="s">
        <v>776</v>
      </c>
      <c r="K839" s="512" t="b">
        <v>1</v>
      </c>
      <c r="L839" s="512">
        <v>0</v>
      </c>
      <c r="M839" s="513">
        <v>2022</v>
      </c>
      <c r="N839" s="514">
        <v>0</v>
      </c>
      <c r="O839" s="515">
        <v>44620</v>
      </c>
      <c r="P839" s="515">
        <v>44620</v>
      </c>
      <c r="Q839" s="516">
        <v>0</v>
      </c>
    </row>
    <row r="840" spans="1:17" ht="16.5">
      <c r="A840" s="9">
        <v>2022</v>
      </c>
      <c r="B840" s="10" t="s">
        <v>748</v>
      </c>
      <c r="C840" s="511" t="s">
        <v>749</v>
      </c>
      <c r="D840" s="512">
        <v>218000</v>
      </c>
      <c r="E840" s="512">
        <v>0</v>
      </c>
      <c r="F840" s="512"/>
      <c r="G840" s="512">
        <v>109100</v>
      </c>
      <c r="H840" s="512">
        <v>10.1</v>
      </c>
      <c r="I840" s="512"/>
      <c r="J840" s="512" t="s">
        <v>776</v>
      </c>
      <c r="K840" s="512" t="b">
        <v>1</v>
      </c>
      <c r="L840" s="512">
        <v>9</v>
      </c>
      <c r="M840" s="513">
        <v>2031</v>
      </c>
      <c r="N840" s="514">
        <v>0</v>
      </c>
      <c r="O840" s="515">
        <v>44620</v>
      </c>
      <c r="P840" s="515">
        <v>44620</v>
      </c>
      <c r="Q840" s="516">
        <v>0</v>
      </c>
    </row>
    <row r="841" spans="1:17" ht="16.5">
      <c r="A841" s="9">
        <v>2022</v>
      </c>
      <c r="B841" s="10" t="s">
        <v>748</v>
      </c>
      <c r="C841" s="511" t="s">
        <v>749</v>
      </c>
      <c r="D841" s="512">
        <v>218000</v>
      </c>
      <c r="E841" s="512">
        <v>0</v>
      </c>
      <c r="F841" s="512"/>
      <c r="G841" s="512">
        <v>109100</v>
      </c>
      <c r="H841" s="512">
        <v>10.1</v>
      </c>
      <c r="I841" s="512"/>
      <c r="J841" s="512" t="s">
        <v>776</v>
      </c>
      <c r="K841" s="512" t="b">
        <v>1</v>
      </c>
      <c r="L841" s="512">
        <v>6</v>
      </c>
      <c r="M841" s="513">
        <v>2028</v>
      </c>
      <c r="N841" s="514">
        <v>0</v>
      </c>
      <c r="O841" s="515">
        <v>44620</v>
      </c>
      <c r="P841" s="515">
        <v>44620</v>
      </c>
      <c r="Q841" s="516">
        <v>0</v>
      </c>
    </row>
    <row r="842" spans="1:17" ht="16.5">
      <c r="A842" s="9">
        <v>2022</v>
      </c>
      <c r="B842" s="10" t="s">
        <v>748</v>
      </c>
      <c r="C842" s="511" t="s">
        <v>749</v>
      </c>
      <c r="D842" s="512">
        <v>218000</v>
      </c>
      <c r="E842" s="512">
        <v>0</v>
      </c>
      <c r="F842" s="512"/>
      <c r="G842" s="512">
        <v>109100</v>
      </c>
      <c r="H842" s="512">
        <v>10.1</v>
      </c>
      <c r="I842" s="512"/>
      <c r="J842" s="512" t="s">
        <v>776</v>
      </c>
      <c r="K842" s="512" t="b">
        <v>1</v>
      </c>
      <c r="L842" s="512">
        <v>11</v>
      </c>
      <c r="M842" s="513">
        <v>2033</v>
      </c>
      <c r="N842" s="514">
        <v>0</v>
      </c>
      <c r="O842" s="515">
        <v>44620</v>
      </c>
      <c r="P842" s="515">
        <v>44620</v>
      </c>
      <c r="Q842" s="516">
        <v>0</v>
      </c>
    </row>
    <row r="843" spans="1:17" ht="16.5">
      <c r="A843" s="9">
        <v>2022</v>
      </c>
      <c r="B843" s="10" t="s">
        <v>748</v>
      </c>
      <c r="C843" s="511" t="s">
        <v>749</v>
      </c>
      <c r="D843" s="512">
        <v>218000</v>
      </c>
      <c r="E843" s="512">
        <v>0</v>
      </c>
      <c r="F843" s="512"/>
      <c r="G843" s="512">
        <v>109100</v>
      </c>
      <c r="H843" s="512">
        <v>10.1</v>
      </c>
      <c r="I843" s="512"/>
      <c r="J843" s="512" t="s">
        <v>776</v>
      </c>
      <c r="K843" s="512" t="b">
        <v>1</v>
      </c>
      <c r="L843" s="512">
        <v>3</v>
      </c>
      <c r="M843" s="513">
        <v>2025</v>
      </c>
      <c r="N843" s="514">
        <v>0</v>
      </c>
      <c r="O843" s="515">
        <v>44620</v>
      </c>
      <c r="P843" s="515">
        <v>44620</v>
      </c>
      <c r="Q843" s="516">
        <v>0</v>
      </c>
    </row>
    <row r="844" spans="1:17" ht="16.5">
      <c r="A844" s="9">
        <v>2022</v>
      </c>
      <c r="B844" s="10" t="s">
        <v>748</v>
      </c>
      <c r="C844" s="511" t="s">
        <v>749</v>
      </c>
      <c r="D844" s="512">
        <v>218000</v>
      </c>
      <c r="E844" s="512">
        <v>0</v>
      </c>
      <c r="F844" s="512"/>
      <c r="G844" s="512">
        <v>109100</v>
      </c>
      <c r="H844" s="512">
        <v>10.1</v>
      </c>
      <c r="I844" s="512"/>
      <c r="J844" s="512" t="s">
        <v>776</v>
      </c>
      <c r="K844" s="512" t="b">
        <v>1</v>
      </c>
      <c r="L844" s="512">
        <v>4</v>
      </c>
      <c r="M844" s="513">
        <v>2026</v>
      </c>
      <c r="N844" s="514">
        <v>0</v>
      </c>
      <c r="O844" s="515">
        <v>44620</v>
      </c>
      <c r="P844" s="515">
        <v>44620</v>
      </c>
      <c r="Q844" s="516">
        <v>0</v>
      </c>
    </row>
    <row r="845" spans="1:17" ht="16.5">
      <c r="A845" s="9">
        <v>2022</v>
      </c>
      <c r="B845" s="10" t="s">
        <v>748</v>
      </c>
      <c r="C845" s="511" t="s">
        <v>749</v>
      </c>
      <c r="D845" s="512">
        <v>218000</v>
      </c>
      <c r="E845" s="512">
        <v>0</v>
      </c>
      <c r="F845" s="512"/>
      <c r="G845" s="512">
        <v>109100</v>
      </c>
      <c r="H845" s="512">
        <v>10.1</v>
      </c>
      <c r="I845" s="512"/>
      <c r="J845" s="512" t="s">
        <v>776</v>
      </c>
      <c r="K845" s="512" t="b">
        <v>1</v>
      </c>
      <c r="L845" s="512">
        <v>2</v>
      </c>
      <c r="M845" s="513">
        <v>2024</v>
      </c>
      <c r="N845" s="514">
        <v>0</v>
      </c>
      <c r="O845" s="515">
        <v>44620</v>
      </c>
      <c r="P845" s="515">
        <v>44620</v>
      </c>
      <c r="Q845" s="516">
        <v>0</v>
      </c>
    </row>
    <row r="846" spans="1:17" ht="16.5">
      <c r="A846" s="9">
        <v>2022</v>
      </c>
      <c r="B846" s="10" t="s">
        <v>748</v>
      </c>
      <c r="C846" s="511" t="s">
        <v>749</v>
      </c>
      <c r="D846" s="512">
        <v>218000</v>
      </c>
      <c r="E846" s="512">
        <v>0</v>
      </c>
      <c r="F846" s="512"/>
      <c r="G846" s="512">
        <v>109100</v>
      </c>
      <c r="H846" s="512">
        <v>10.1</v>
      </c>
      <c r="I846" s="512"/>
      <c r="J846" s="512" t="s">
        <v>776</v>
      </c>
      <c r="K846" s="512" t="b">
        <v>1</v>
      </c>
      <c r="L846" s="512">
        <v>5</v>
      </c>
      <c r="M846" s="513">
        <v>2027</v>
      </c>
      <c r="N846" s="514">
        <v>0</v>
      </c>
      <c r="O846" s="515">
        <v>44620</v>
      </c>
      <c r="P846" s="515">
        <v>44620</v>
      </c>
      <c r="Q846" s="516">
        <v>0</v>
      </c>
    </row>
    <row r="847" spans="1:17" ht="16.5">
      <c r="A847" s="9">
        <v>2022</v>
      </c>
      <c r="B847" s="10" t="s">
        <v>748</v>
      </c>
      <c r="C847" s="511" t="s">
        <v>749</v>
      </c>
      <c r="D847" s="512">
        <v>218000</v>
      </c>
      <c r="E847" s="512">
        <v>0</v>
      </c>
      <c r="F847" s="512"/>
      <c r="G847" s="512">
        <v>123000</v>
      </c>
      <c r="H847" s="512">
        <v>12.3</v>
      </c>
      <c r="I847" s="512" t="s">
        <v>775</v>
      </c>
      <c r="J847" s="512" t="s">
        <v>777</v>
      </c>
      <c r="K847" s="512" t="b">
        <v>1</v>
      </c>
      <c r="L847" s="512">
        <v>3</v>
      </c>
      <c r="M847" s="513">
        <v>2025</v>
      </c>
      <c r="N847" s="514">
        <v>0</v>
      </c>
      <c r="O847" s="515">
        <v>44620</v>
      </c>
      <c r="P847" s="515">
        <v>44620</v>
      </c>
      <c r="Q847" s="516">
        <v>0</v>
      </c>
    </row>
    <row r="848" spans="1:17" ht="16.5">
      <c r="A848" s="9">
        <v>2022</v>
      </c>
      <c r="B848" s="10" t="s">
        <v>748</v>
      </c>
      <c r="C848" s="511" t="s">
        <v>749</v>
      </c>
      <c r="D848" s="512">
        <v>218000</v>
      </c>
      <c r="E848" s="512">
        <v>0</v>
      </c>
      <c r="F848" s="512"/>
      <c r="G848" s="512">
        <v>123000</v>
      </c>
      <c r="H848" s="512">
        <v>12.3</v>
      </c>
      <c r="I848" s="512" t="s">
        <v>775</v>
      </c>
      <c r="J848" s="512" t="s">
        <v>777</v>
      </c>
      <c r="K848" s="512" t="b">
        <v>1</v>
      </c>
      <c r="L848" s="512">
        <v>10</v>
      </c>
      <c r="M848" s="513">
        <v>2032</v>
      </c>
      <c r="N848" s="514">
        <v>0</v>
      </c>
      <c r="O848" s="515">
        <v>44620</v>
      </c>
      <c r="P848" s="515">
        <v>44620</v>
      </c>
      <c r="Q848" s="516">
        <v>0</v>
      </c>
    </row>
    <row r="849" spans="1:17" ht="16.5">
      <c r="A849" s="9">
        <v>2022</v>
      </c>
      <c r="B849" s="10" t="s">
        <v>748</v>
      </c>
      <c r="C849" s="511" t="s">
        <v>749</v>
      </c>
      <c r="D849" s="512">
        <v>218000</v>
      </c>
      <c r="E849" s="512">
        <v>0</v>
      </c>
      <c r="F849" s="512"/>
      <c r="G849" s="512">
        <v>123000</v>
      </c>
      <c r="H849" s="512">
        <v>12.3</v>
      </c>
      <c r="I849" s="512" t="s">
        <v>775</v>
      </c>
      <c r="J849" s="512" t="s">
        <v>777</v>
      </c>
      <c r="K849" s="512" t="b">
        <v>1</v>
      </c>
      <c r="L849" s="512">
        <v>9</v>
      </c>
      <c r="M849" s="513">
        <v>2031</v>
      </c>
      <c r="N849" s="514">
        <v>0</v>
      </c>
      <c r="O849" s="515">
        <v>44620</v>
      </c>
      <c r="P849" s="515">
        <v>44620</v>
      </c>
      <c r="Q849" s="516">
        <v>0</v>
      </c>
    </row>
    <row r="850" spans="1:17" ht="16.5">
      <c r="A850" s="9">
        <v>2022</v>
      </c>
      <c r="B850" s="10" t="s">
        <v>748</v>
      </c>
      <c r="C850" s="511" t="s">
        <v>749</v>
      </c>
      <c r="D850" s="512">
        <v>218000</v>
      </c>
      <c r="E850" s="512">
        <v>0</v>
      </c>
      <c r="F850" s="512"/>
      <c r="G850" s="512">
        <v>123000</v>
      </c>
      <c r="H850" s="512">
        <v>12.3</v>
      </c>
      <c r="I850" s="512" t="s">
        <v>775</v>
      </c>
      <c r="J850" s="512" t="s">
        <v>777</v>
      </c>
      <c r="K850" s="512" t="b">
        <v>1</v>
      </c>
      <c r="L850" s="512">
        <v>8</v>
      </c>
      <c r="M850" s="513">
        <v>2030</v>
      </c>
      <c r="N850" s="514">
        <v>0</v>
      </c>
      <c r="O850" s="515">
        <v>44620</v>
      </c>
      <c r="P850" s="515">
        <v>44620</v>
      </c>
      <c r="Q850" s="516">
        <v>0</v>
      </c>
    </row>
    <row r="851" spans="1:17" ht="16.5">
      <c r="A851" s="9">
        <v>2022</v>
      </c>
      <c r="B851" s="10" t="s">
        <v>748</v>
      </c>
      <c r="C851" s="511" t="s">
        <v>749</v>
      </c>
      <c r="D851" s="512">
        <v>218000</v>
      </c>
      <c r="E851" s="512">
        <v>0</v>
      </c>
      <c r="F851" s="512"/>
      <c r="G851" s="512">
        <v>123000</v>
      </c>
      <c r="H851" s="512">
        <v>12.3</v>
      </c>
      <c r="I851" s="512" t="s">
        <v>775</v>
      </c>
      <c r="J851" s="512" t="s">
        <v>777</v>
      </c>
      <c r="K851" s="512" t="b">
        <v>1</v>
      </c>
      <c r="L851" s="512">
        <v>7</v>
      </c>
      <c r="M851" s="513">
        <v>2029</v>
      </c>
      <c r="N851" s="514">
        <v>0</v>
      </c>
      <c r="O851" s="515">
        <v>44620</v>
      </c>
      <c r="P851" s="515">
        <v>44620</v>
      </c>
      <c r="Q851" s="516">
        <v>0</v>
      </c>
    </row>
    <row r="852" spans="1:17" ht="16.5">
      <c r="A852" s="9">
        <v>2022</v>
      </c>
      <c r="B852" s="10" t="s">
        <v>748</v>
      </c>
      <c r="C852" s="511" t="s">
        <v>749</v>
      </c>
      <c r="D852" s="512">
        <v>218000</v>
      </c>
      <c r="E852" s="512">
        <v>0</v>
      </c>
      <c r="F852" s="512"/>
      <c r="G852" s="512">
        <v>123000</v>
      </c>
      <c r="H852" s="512">
        <v>12.3</v>
      </c>
      <c r="I852" s="512" t="s">
        <v>775</v>
      </c>
      <c r="J852" s="512" t="s">
        <v>777</v>
      </c>
      <c r="K852" s="512" t="b">
        <v>1</v>
      </c>
      <c r="L852" s="512">
        <v>2</v>
      </c>
      <c r="M852" s="513">
        <v>2024</v>
      </c>
      <c r="N852" s="514">
        <v>0</v>
      </c>
      <c r="O852" s="515">
        <v>44620</v>
      </c>
      <c r="P852" s="515">
        <v>44620</v>
      </c>
      <c r="Q852" s="516">
        <v>0</v>
      </c>
    </row>
    <row r="853" spans="1:17" ht="16.5">
      <c r="A853" s="9">
        <v>2022</v>
      </c>
      <c r="B853" s="10" t="s">
        <v>748</v>
      </c>
      <c r="C853" s="511" t="s">
        <v>749</v>
      </c>
      <c r="D853" s="512">
        <v>218000</v>
      </c>
      <c r="E853" s="512">
        <v>0</v>
      </c>
      <c r="F853" s="512"/>
      <c r="G853" s="512">
        <v>123000</v>
      </c>
      <c r="H853" s="512">
        <v>12.3</v>
      </c>
      <c r="I853" s="512" t="s">
        <v>775</v>
      </c>
      <c r="J853" s="512" t="s">
        <v>777</v>
      </c>
      <c r="K853" s="512" t="b">
        <v>1</v>
      </c>
      <c r="L853" s="512">
        <v>6</v>
      </c>
      <c r="M853" s="513">
        <v>2028</v>
      </c>
      <c r="N853" s="514">
        <v>0</v>
      </c>
      <c r="O853" s="515">
        <v>44620</v>
      </c>
      <c r="P853" s="515">
        <v>44620</v>
      </c>
      <c r="Q853" s="516">
        <v>0</v>
      </c>
    </row>
    <row r="854" spans="1:17" ht="16.5">
      <c r="A854" s="9">
        <v>2022</v>
      </c>
      <c r="B854" s="10" t="s">
        <v>748</v>
      </c>
      <c r="C854" s="511" t="s">
        <v>749</v>
      </c>
      <c r="D854" s="512">
        <v>218000</v>
      </c>
      <c r="E854" s="512">
        <v>0</v>
      </c>
      <c r="F854" s="512"/>
      <c r="G854" s="512">
        <v>123000</v>
      </c>
      <c r="H854" s="512">
        <v>12.3</v>
      </c>
      <c r="I854" s="512" t="s">
        <v>775</v>
      </c>
      <c r="J854" s="512" t="s">
        <v>777</v>
      </c>
      <c r="K854" s="512" t="b">
        <v>1</v>
      </c>
      <c r="L854" s="512">
        <v>1</v>
      </c>
      <c r="M854" s="513">
        <v>2023</v>
      </c>
      <c r="N854" s="514">
        <v>0</v>
      </c>
      <c r="O854" s="515">
        <v>44620</v>
      </c>
      <c r="P854" s="515">
        <v>44620</v>
      </c>
      <c r="Q854" s="516">
        <v>0</v>
      </c>
    </row>
    <row r="855" spans="1:17" ht="16.5">
      <c r="A855" s="9">
        <v>2022</v>
      </c>
      <c r="B855" s="10" t="s">
        <v>748</v>
      </c>
      <c r="C855" s="511" t="s">
        <v>749</v>
      </c>
      <c r="D855" s="512">
        <v>218000</v>
      </c>
      <c r="E855" s="512">
        <v>0</v>
      </c>
      <c r="F855" s="512"/>
      <c r="G855" s="512">
        <v>123000</v>
      </c>
      <c r="H855" s="512">
        <v>12.3</v>
      </c>
      <c r="I855" s="512" t="s">
        <v>775</v>
      </c>
      <c r="J855" s="512" t="s">
        <v>777</v>
      </c>
      <c r="K855" s="512" t="b">
        <v>1</v>
      </c>
      <c r="L855" s="512">
        <v>4</v>
      </c>
      <c r="M855" s="513">
        <v>2026</v>
      </c>
      <c r="N855" s="514">
        <v>0</v>
      </c>
      <c r="O855" s="515">
        <v>44620</v>
      </c>
      <c r="P855" s="515">
        <v>44620</v>
      </c>
      <c r="Q855" s="516">
        <v>0</v>
      </c>
    </row>
    <row r="856" spans="1:17" ht="16.5">
      <c r="A856" s="9">
        <v>2022</v>
      </c>
      <c r="B856" s="10" t="s">
        <v>748</v>
      </c>
      <c r="C856" s="511" t="s">
        <v>749</v>
      </c>
      <c r="D856" s="512">
        <v>218000</v>
      </c>
      <c r="E856" s="512">
        <v>0</v>
      </c>
      <c r="F856" s="512"/>
      <c r="G856" s="512">
        <v>123000</v>
      </c>
      <c r="H856" s="512">
        <v>12.3</v>
      </c>
      <c r="I856" s="512" t="s">
        <v>775</v>
      </c>
      <c r="J856" s="512" t="s">
        <v>777</v>
      </c>
      <c r="K856" s="512" t="b">
        <v>1</v>
      </c>
      <c r="L856" s="512">
        <v>11</v>
      </c>
      <c r="M856" s="513">
        <v>2033</v>
      </c>
      <c r="N856" s="514">
        <v>0</v>
      </c>
      <c r="O856" s="515">
        <v>44620</v>
      </c>
      <c r="P856" s="515">
        <v>44620</v>
      </c>
      <c r="Q856" s="516">
        <v>0</v>
      </c>
    </row>
    <row r="857" spans="1:17" ht="16.5">
      <c r="A857" s="9">
        <v>2022</v>
      </c>
      <c r="B857" s="10" t="s">
        <v>748</v>
      </c>
      <c r="C857" s="511" t="s">
        <v>749</v>
      </c>
      <c r="D857" s="512">
        <v>218000</v>
      </c>
      <c r="E857" s="512">
        <v>0</v>
      </c>
      <c r="F857" s="512"/>
      <c r="G857" s="512">
        <v>123000</v>
      </c>
      <c r="H857" s="512">
        <v>12.3</v>
      </c>
      <c r="I857" s="512" t="s">
        <v>775</v>
      </c>
      <c r="J857" s="512" t="s">
        <v>777</v>
      </c>
      <c r="K857" s="512" t="b">
        <v>1</v>
      </c>
      <c r="L857" s="512">
        <v>0</v>
      </c>
      <c r="M857" s="513">
        <v>2022</v>
      </c>
      <c r="N857" s="514">
        <v>0</v>
      </c>
      <c r="O857" s="515">
        <v>44620</v>
      </c>
      <c r="P857" s="515">
        <v>44620</v>
      </c>
      <c r="Q857" s="516">
        <v>0</v>
      </c>
    </row>
    <row r="858" spans="1:17" ht="16.5">
      <c r="A858" s="9">
        <v>2022</v>
      </c>
      <c r="B858" s="10" t="s">
        <v>748</v>
      </c>
      <c r="C858" s="511" t="s">
        <v>749</v>
      </c>
      <c r="D858" s="512">
        <v>218000</v>
      </c>
      <c r="E858" s="512">
        <v>0</v>
      </c>
      <c r="F858" s="512"/>
      <c r="G858" s="512">
        <v>123000</v>
      </c>
      <c r="H858" s="512">
        <v>12.3</v>
      </c>
      <c r="I858" s="512" t="s">
        <v>775</v>
      </c>
      <c r="J858" s="512" t="s">
        <v>777</v>
      </c>
      <c r="K858" s="512" t="b">
        <v>1</v>
      </c>
      <c r="L858" s="512">
        <v>5</v>
      </c>
      <c r="M858" s="513">
        <v>2027</v>
      </c>
      <c r="N858" s="514">
        <v>0</v>
      </c>
      <c r="O858" s="515">
        <v>44620</v>
      </c>
      <c r="P858" s="515">
        <v>44620</v>
      </c>
      <c r="Q858" s="516">
        <v>0</v>
      </c>
    </row>
    <row r="859" spans="1:17" ht="16.5">
      <c r="A859" s="9">
        <v>2022</v>
      </c>
      <c r="B859" s="10" t="s">
        <v>748</v>
      </c>
      <c r="C859" s="511" t="s">
        <v>749</v>
      </c>
      <c r="D859" s="512">
        <v>218000</v>
      </c>
      <c r="E859" s="512">
        <v>0</v>
      </c>
      <c r="F859" s="512"/>
      <c r="G859" s="512">
        <v>111000</v>
      </c>
      <c r="H859" s="512">
        <v>11.1</v>
      </c>
      <c r="I859" s="512"/>
      <c r="J859" s="512" t="s">
        <v>778</v>
      </c>
      <c r="K859" s="512" t="b">
        <v>1</v>
      </c>
      <c r="L859" s="512">
        <v>4</v>
      </c>
      <c r="M859" s="513">
        <v>2026</v>
      </c>
      <c r="N859" s="514">
        <v>0</v>
      </c>
      <c r="O859" s="515">
        <v>44620</v>
      </c>
      <c r="P859" s="515">
        <v>44620</v>
      </c>
      <c r="Q859" s="516">
        <v>0</v>
      </c>
    </row>
    <row r="860" spans="1:17" ht="16.5">
      <c r="A860" s="9">
        <v>2022</v>
      </c>
      <c r="B860" s="10" t="s">
        <v>748</v>
      </c>
      <c r="C860" s="511" t="s">
        <v>749</v>
      </c>
      <c r="D860" s="512">
        <v>218000</v>
      </c>
      <c r="E860" s="512">
        <v>0</v>
      </c>
      <c r="F860" s="512"/>
      <c r="G860" s="512">
        <v>111000</v>
      </c>
      <c r="H860" s="512">
        <v>11.1</v>
      </c>
      <c r="I860" s="512"/>
      <c r="J860" s="512" t="s">
        <v>778</v>
      </c>
      <c r="K860" s="512" t="b">
        <v>1</v>
      </c>
      <c r="L860" s="512">
        <v>9</v>
      </c>
      <c r="M860" s="513">
        <v>2031</v>
      </c>
      <c r="N860" s="514">
        <v>0</v>
      </c>
      <c r="O860" s="515">
        <v>44620</v>
      </c>
      <c r="P860" s="515">
        <v>44620</v>
      </c>
      <c r="Q860" s="516">
        <v>0</v>
      </c>
    </row>
    <row r="861" spans="1:17" ht="16.5">
      <c r="A861" s="9">
        <v>2022</v>
      </c>
      <c r="B861" s="10" t="s">
        <v>748</v>
      </c>
      <c r="C861" s="511" t="s">
        <v>749</v>
      </c>
      <c r="D861" s="512">
        <v>218000</v>
      </c>
      <c r="E861" s="512">
        <v>0</v>
      </c>
      <c r="F861" s="512"/>
      <c r="G861" s="512">
        <v>111000</v>
      </c>
      <c r="H861" s="512">
        <v>11.1</v>
      </c>
      <c r="I861" s="512"/>
      <c r="J861" s="512" t="s">
        <v>778</v>
      </c>
      <c r="K861" s="512" t="b">
        <v>1</v>
      </c>
      <c r="L861" s="512">
        <v>6</v>
      </c>
      <c r="M861" s="513">
        <v>2028</v>
      </c>
      <c r="N861" s="514">
        <v>0</v>
      </c>
      <c r="O861" s="515">
        <v>44620</v>
      </c>
      <c r="P861" s="515">
        <v>44620</v>
      </c>
      <c r="Q861" s="516">
        <v>0</v>
      </c>
    </row>
    <row r="862" spans="1:17" ht="16.5">
      <c r="A862" s="9">
        <v>2022</v>
      </c>
      <c r="B862" s="10" t="s">
        <v>748</v>
      </c>
      <c r="C862" s="511" t="s">
        <v>749</v>
      </c>
      <c r="D862" s="512">
        <v>218000</v>
      </c>
      <c r="E862" s="512">
        <v>0</v>
      </c>
      <c r="F862" s="512"/>
      <c r="G862" s="512">
        <v>111000</v>
      </c>
      <c r="H862" s="512">
        <v>11.1</v>
      </c>
      <c r="I862" s="512"/>
      <c r="J862" s="512" t="s">
        <v>778</v>
      </c>
      <c r="K862" s="512" t="b">
        <v>1</v>
      </c>
      <c r="L862" s="512">
        <v>3</v>
      </c>
      <c r="M862" s="513">
        <v>2025</v>
      </c>
      <c r="N862" s="514">
        <v>0</v>
      </c>
      <c r="O862" s="515">
        <v>44620</v>
      </c>
      <c r="P862" s="515">
        <v>44620</v>
      </c>
      <c r="Q862" s="516">
        <v>0</v>
      </c>
    </row>
    <row r="863" spans="1:17" ht="16.5">
      <c r="A863" s="9">
        <v>2022</v>
      </c>
      <c r="B863" s="10" t="s">
        <v>748</v>
      </c>
      <c r="C863" s="511" t="s">
        <v>749</v>
      </c>
      <c r="D863" s="512">
        <v>218000</v>
      </c>
      <c r="E863" s="512">
        <v>0</v>
      </c>
      <c r="F863" s="512"/>
      <c r="G863" s="512">
        <v>111000</v>
      </c>
      <c r="H863" s="512">
        <v>11.1</v>
      </c>
      <c r="I863" s="512"/>
      <c r="J863" s="512" t="s">
        <v>778</v>
      </c>
      <c r="K863" s="512" t="b">
        <v>1</v>
      </c>
      <c r="L863" s="512">
        <v>11</v>
      </c>
      <c r="M863" s="513">
        <v>2033</v>
      </c>
      <c r="N863" s="514">
        <v>0</v>
      </c>
      <c r="O863" s="515">
        <v>44620</v>
      </c>
      <c r="P863" s="515">
        <v>44620</v>
      </c>
      <c r="Q863" s="516">
        <v>0</v>
      </c>
    </row>
    <row r="864" spans="1:17" ht="16.5">
      <c r="A864" s="9">
        <v>2022</v>
      </c>
      <c r="B864" s="10" t="s">
        <v>748</v>
      </c>
      <c r="C864" s="511" t="s">
        <v>749</v>
      </c>
      <c r="D864" s="512">
        <v>218000</v>
      </c>
      <c r="E864" s="512">
        <v>0</v>
      </c>
      <c r="F864" s="512"/>
      <c r="G864" s="512">
        <v>111000</v>
      </c>
      <c r="H864" s="512">
        <v>11.1</v>
      </c>
      <c r="I864" s="512"/>
      <c r="J864" s="512" t="s">
        <v>778</v>
      </c>
      <c r="K864" s="512" t="b">
        <v>1</v>
      </c>
      <c r="L864" s="512">
        <v>1</v>
      </c>
      <c r="M864" s="513">
        <v>2023</v>
      </c>
      <c r="N864" s="514">
        <v>0</v>
      </c>
      <c r="O864" s="515">
        <v>44620</v>
      </c>
      <c r="P864" s="515">
        <v>44620</v>
      </c>
      <c r="Q864" s="516">
        <v>0</v>
      </c>
    </row>
    <row r="865" spans="1:17" ht="16.5">
      <c r="A865" s="9">
        <v>2022</v>
      </c>
      <c r="B865" s="10" t="s">
        <v>748</v>
      </c>
      <c r="C865" s="511" t="s">
        <v>749</v>
      </c>
      <c r="D865" s="512">
        <v>218000</v>
      </c>
      <c r="E865" s="512">
        <v>0</v>
      </c>
      <c r="F865" s="512"/>
      <c r="G865" s="512">
        <v>111000</v>
      </c>
      <c r="H865" s="512">
        <v>11.1</v>
      </c>
      <c r="I865" s="512"/>
      <c r="J865" s="512" t="s">
        <v>778</v>
      </c>
      <c r="K865" s="512" t="b">
        <v>1</v>
      </c>
      <c r="L865" s="512">
        <v>0</v>
      </c>
      <c r="M865" s="513">
        <v>2022</v>
      </c>
      <c r="N865" s="514">
        <v>0</v>
      </c>
      <c r="O865" s="515">
        <v>44620</v>
      </c>
      <c r="P865" s="515">
        <v>44620</v>
      </c>
      <c r="Q865" s="516">
        <v>0</v>
      </c>
    </row>
    <row r="866" spans="1:17" ht="16.5">
      <c r="A866" s="9">
        <v>2022</v>
      </c>
      <c r="B866" s="10" t="s">
        <v>748</v>
      </c>
      <c r="C866" s="511" t="s">
        <v>749</v>
      </c>
      <c r="D866" s="512">
        <v>218000</v>
      </c>
      <c r="E866" s="512">
        <v>0</v>
      </c>
      <c r="F866" s="512"/>
      <c r="G866" s="512">
        <v>111000</v>
      </c>
      <c r="H866" s="512">
        <v>11.1</v>
      </c>
      <c r="I866" s="512"/>
      <c r="J866" s="512" t="s">
        <v>778</v>
      </c>
      <c r="K866" s="512" t="b">
        <v>1</v>
      </c>
      <c r="L866" s="512">
        <v>2</v>
      </c>
      <c r="M866" s="513">
        <v>2024</v>
      </c>
      <c r="N866" s="514">
        <v>0</v>
      </c>
      <c r="O866" s="515">
        <v>44620</v>
      </c>
      <c r="P866" s="515">
        <v>44620</v>
      </c>
      <c r="Q866" s="516">
        <v>0</v>
      </c>
    </row>
    <row r="867" spans="1:17" ht="16.5">
      <c r="A867" s="9">
        <v>2022</v>
      </c>
      <c r="B867" s="10" t="s">
        <v>748</v>
      </c>
      <c r="C867" s="511" t="s">
        <v>749</v>
      </c>
      <c r="D867" s="512">
        <v>218000</v>
      </c>
      <c r="E867" s="512">
        <v>0</v>
      </c>
      <c r="F867" s="512"/>
      <c r="G867" s="512">
        <v>111000</v>
      </c>
      <c r="H867" s="512">
        <v>11.1</v>
      </c>
      <c r="I867" s="512"/>
      <c r="J867" s="512" t="s">
        <v>778</v>
      </c>
      <c r="K867" s="512" t="b">
        <v>1</v>
      </c>
      <c r="L867" s="512">
        <v>10</v>
      </c>
      <c r="M867" s="513">
        <v>2032</v>
      </c>
      <c r="N867" s="514">
        <v>0</v>
      </c>
      <c r="O867" s="515">
        <v>44620</v>
      </c>
      <c r="P867" s="515">
        <v>44620</v>
      </c>
      <c r="Q867" s="516">
        <v>0</v>
      </c>
    </row>
    <row r="868" spans="1:17" ht="16.5">
      <c r="A868" s="9">
        <v>2022</v>
      </c>
      <c r="B868" s="10" t="s">
        <v>748</v>
      </c>
      <c r="C868" s="511" t="s">
        <v>749</v>
      </c>
      <c r="D868" s="512">
        <v>218000</v>
      </c>
      <c r="E868" s="512">
        <v>0</v>
      </c>
      <c r="F868" s="512"/>
      <c r="G868" s="512">
        <v>111000</v>
      </c>
      <c r="H868" s="512">
        <v>11.1</v>
      </c>
      <c r="I868" s="512"/>
      <c r="J868" s="512" t="s">
        <v>778</v>
      </c>
      <c r="K868" s="512" t="b">
        <v>1</v>
      </c>
      <c r="L868" s="512">
        <v>7</v>
      </c>
      <c r="M868" s="513">
        <v>2029</v>
      </c>
      <c r="N868" s="514">
        <v>0</v>
      </c>
      <c r="O868" s="515">
        <v>44620</v>
      </c>
      <c r="P868" s="515">
        <v>44620</v>
      </c>
      <c r="Q868" s="516">
        <v>0</v>
      </c>
    </row>
    <row r="869" spans="1:17" ht="16.5">
      <c r="A869" s="9">
        <v>2022</v>
      </c>
      <c r="B869" s="10" t="s">
        <v>748</v>
      </c>
      <c r="C869" s="511" t="s">
        <v>749</v>
      </c>
      <c r="D869" s="512">
        <v>218000</v>
      </c>
      <c r="E869" s="512">
        <v>0</v>
      </c>
      <c r="F869" s="512"/>
      <c r="G869" s="512">
        <v>111000</v>
      </c>
      <c r="H869" s="512">
        <v>11.1</v>
      </c>
      <c r="I869" s="512"/>
      <c r="J869" s="512" t="s">
        <v>778</v>
      </c>
      <c r="K869" s="512" t="b">
        <v>1</v>
      </c>
      <c r="L869" s="512">
        <v>8</v>
      </c>
      <c r="M869" s="513">
        <v>2030</v>
      </c>
      <c r="N869" s="514">
        <v>0</v>
      </c>
      <c r="O869" s="515">
        <v>44620</v>
      </c>
      <c r="P869" s="515">
        <v>44620</v>
      </c>
      <c r="Q869" s="516">
        <v>0</v>
      </c>
    </row>
    <row r="870" spans="1:17" ht="16.5">
      <c r="A870" s="9">
        <v>2022</v>
      </c>
      <c r="B870" s="10" t="s">
        <v>748</v>
      </c>
      <c r="C870" s="511" t="s">
        <v>749</v>
      </c>
      <c r="D870" s="512">
        <v>218000</v>
      </c>
      <c r="E870" s="512">
        <v>0</v>
      </c>
      <c r="F870" s="512"/>
      <c r="G870" s="512">
        <v>111000</v>
      </c>
      <c r="H870" s="512">
        <v>11.1</v>
      </c>
      <c r="I870" s="512"/>
      <c r="J870" s="512" t="s">
        <v>778</v>
      </c>
      <c r="K870" s="512" t="b">
        <v>1</v>
      </c>
      <c r="L870" s="512">
        <v>5</v>
      </c>
      <c r="M870" s="513">
        <v>2027</v>
      </c>
      <c r="N870" s="514">
        <v>0</v>
      </c>
      <c r="O870" s="515">
        <v>44620</v>
      </c>
      <c r="P870" s="515">
        <v>44620</v>
      </c>
      <c r="Q870" s="516">
        <v>0</v>
      </c>
    </row>
    <row r="871" spans="1:17" ht="16.5">
      <c r="A871" s="9">
        <v>2022</v>
      </c>
      <c r="B871" s="10" t="s">
        <v>748</v>
      </c>
      <c r="C871" s="511" t="s">
        <v>749</v>
      </c>
      <c r="D871" s="512">
        <v>218000</v>
      </c>
      <c r="E871" s="512">
        <v>0</v>
      </c>
      <c r="F871" s="512"/>
      <c r="G871" s="512">
        <v>92100</v>
      </c>
      <c r="H871" s="512" t="s">
        <v>285</v>
      </c>
      <c r="I871" s="512"/>
      <c r="J871" s="512" t="s">
        <v>779</v>
      </c>
      <c r="K871" s="512" t="b">
        <v>0</v>
      </c>
      <c r="L871" s="512">
        <v>9</v>
      </c>
      <c r="M871" s="513">
        <v>2031</v>
      </c>
      <c r="N871" s="514">
        <v>0</v>
      </c>
      <c r="O871" s="515">
        <v>44620</v>
      </c>
      <c r="P871" s="515">
        <v>44620</v>
      </c>
      <c r="Q871" s="516">
        <v>0</v>
      </c>
    </row>
    <row r="872" spans="1:17" ht="16.5">
      <c r="A872" s="9">
        <v>2022</v>
      </c>
      <c r="B872" s="10" t="s">
        <v>748</v>
      </c>
      <c r="C872" s="511" t="s">
        <v>749</v>
      </c>
      <c r="D872" s="512">
        <v>218000</v>
      </c>
      <c r="E872" s="512">
        <v>0</v>
      </c>
      <c r="F872" s="512"/>
      <c r="G872" s="512">
        <v>92100</v>
      </c>
      <c r="H872" s="512" t="s">
        <v>285</v>
      </c>
      <c r="I872" s="512"/>
      <c r="J872" s="512" t="s">
        <v>779</v>
      </c>
      <c r="K872" s="512" t="b">
        <v>0</v>
      </c>
      <c r="L872" s="512">
        <v>3</v>
      </c>
      <c r="M872" s="513">
        <v>2025</v>
      </c>
      <c r="N872" s="514">
        <v>0</v>
      </c>
      <c r="O872" s="515">
        <v>44620</v>
      </c>
      <c r="P872" s="515">
        <v>44620</v>
      </c>
      <c r="Q872" s="516">
        <v>0</v>
      </c>
    </row>
    <row r="873" spans="1:17" ht="16.5">
      <c r="A873" s="9">
        <v>2022</v>
      </c>
      <c r="B873" s="10" t="s">
        <v>748</v>
      </c>
      <c r="C873" s="511" t="s">
        <v>749</v>
      </c>
      <c r="D873" s="512">
        <v>218000</v>
      </c>
      <c r="E873" s="512">
        <v>0</v>
      </c>
      <c r="F873" s="512"/>
      <c r="G873" s="512">
        <v>92100</v>
      </c>
      <c r="H873" s="512" t="s">
        <v>285</v>
      </c>
      <c r="I873" s="512"/>
      <c r="J873" s="512" t="s">
        <v>779</v>
      </c>
      <c r="K873" s="512" t="b">
        <v>0</v>
      </c>
      <c r="L873" s="512">
        <v>0</v>
      </c>
      <c r="M873" s="513">
        <v>2022</v>
      </c>
      <c r="N873" s="514">
        <v>2790427</v>
      </c>
      <c r="O873" s="515">
        <v>44620</v>
      </c>
      <c r="P873" s="515">
        <v>44620</v>
      </c>
      <c r="Q873" s="516">
        <v>0</v>
      </c>
    </row>
    <row r="874" spans="1:17" ht="16.5">
      <c r="A874" s="9">
        <v>2022</v>
      </c>
      <c r="B874" s="10" t="s">
        <v>748</v>
      </c>
      <c r="C874" s="511" t="s">
        <v>749</v>
      </c>
      <c r="D874" s="512">
        <v>218000</v>
      </c>
      <c r="E874" s="512">
        <v>0</v>
      </c>
      <c r="F874" s="512"/>
      <c r="G874" s="512">
        <v>92100</v>
      </c>
      <c r="H874" s="512" t="s">
        <v>285</v>
      </c>
      <c r="I874" s="512"/>
      <c r="J874" s="512" t="s">
        <v>779</v>
      </c>
      <c r="K874" s="512" t="b">
        <v>0</v>
      </c>
      <c r="L874" s="512">
        <v>1</v>
      </c>
      <c r="M874" s="513">
        <v>2023</v>
      </c>
      <c r="N874" s="514">
        <v>0</v>
      </c>
      <c r="O874" s="515">
        <v>44620</v>
      </c>
      <c r="P874" s="515">
        <v>44620</v>
      </c>
      <c r="Q874" s="516">
        <v>0</v>
      </c>
    </row>
    <row r="875" spans="1:17" ht="16.5">
      <c r="A875" s="9">
        <v>2022</v>
      </c>
      <c r="B875" s="10" t="s">
        <v>748</v>
      </c>
      <c r="C875" s="511" t="s">
        <v>749</v>
      </c>
      <c r="D875" s="512">
        <v>218000</v>
      </c>
      <c r="E875" s="512">
        <v>0</v>
      </c>
      <c r="F875" s="512"/>
      <c r="G875" s="512">
        <v>92100</v>
      </c>
      <c r="H875" s="512" t="s">
        <v>285</v>
      </c>
      <c r="I875" s="512"/>
      <c r="J875" s="512" t="s">
        <v>779</v>
      </c>
      <c r="K875" s="512" t="b">
        <v>0</v>
      </c>
      <c r="L875" s="512">
        <v>4</v>
      </c>
      <c r="M875" s="513">
        <v>2026</v>
      </c>
      <c r="N875" s="514">
        <v>0</v>
      </c>
      <c r="O875" s="515">
        <v>44620</v>
      </c>
      <c r="P875" s="515">
        <v>44620</v>
      </c>
      <c r="Q875" s="516">
        <v>0</v>
      </c>
    </row>
    <row r="876" spans="1:17" ht="16.5">
      <c r="A876" s="9">
        <v>2022</v>
      </c>
      <c r="B876" s="10" t="s">
        <v>748</v>
      </c>
      <c r="C876" s="511" t="s">
        <v>749</v>
      </c>
      <c r="D876" s="512">
        <v>218000</v>
      </c>
      <c r="E876" s="512">
        <v>0</v>
      </c>
      <c r="F876" s="512"/>
      <c r="G876" s="512">
        <v>92100</v>
      </c>
      <c r="H876" s="512" t="s">
        <v>285</v>
      </c>
      <c r="I876" s="512"/>
      <c r="J876" s="512" t="s">
        <v>779</v>
      </c>
      <c r="K876" s="512" t="b">
        <v>0</v>
      </c>
      <c r="L876" s="512">
        <v>10</v>
      </c>
      <c r="M876" s="513">
        <v>2032</v>
      </c>
      <c r="N876" s="514">
        <v>0</v>
      </c>
      <c r="O876" s="515">
        <v>44620</v>
      </c>
      <c r="P876" s="515">
        <v>44620</v>
      </c>
      <c r="Q876" s="516">
        <v>0</v>
      </c>
    </row>
    <row r="877" spans="1:17" ht="16.5">
      <c r="A877" s="9">
        <v>2022</v>
      </c>
      <c r="B877" s="10" t="s">
        <v>748</v>
      </c>
      <c r="C877" s="511" t="s">
        <v>749</v>
      </c>
      <c r="D877" s="512">
        <v>218000</v>
      </c>
      <c r="E877" s="512">
        <v>0</v>
      </c>
      <c r="F877" s="512"/>
      <c r="G877" s="512">
        <v>92100</v>
      </c>
      <c r="H877" s="512" t="s">
        <v>285</v>
      </c>
      <c r="I877" s="512"/>
      <c r="J877" s="512" t="s">
        <v>779</v>
      </c>
      <c r="K877" s="512" t="b">
        <v>0</v>
      </c>
      <c r="L877" s="512">
        <v>11</v>
      </c>
      <c r="M877" s="513">
        <v>2033</v>
      </c>
      <c r="N877" s="514">
        <v>0</v>
      </c>
      <c r="O877" s="515">
        <v>44620</v>
      </c>
      <c r="P877" s="515">
        <v>44620</v>
      </c>
      <c r="Q877" s="516">
        <v>0</v>
      </c>
    </row>
    <row r="878" spans="1:17" ht="16.5">
      <c r="A878" s="9">
        <v>2022</v>
      </c>
      <c r="B878" s="10" t="s">
        <v>748</v>
      </c>
      <c r="C878" s="511" t="s">
        <v>749</v>
      </c>
      <c r="D878" s="512">
        <v>218000</v>
      </c>
      <c r="E878" s="512">
        <v>0</v>
      </c>
      <c r="F878" s="512"/>
      <c r="G878" s="512">
        <v>92100</v>
      </c>
      <c r="H878" s="512" t="s">
        <v>285</v>
      </c>
      <c r="I878" s="512"/>
      <c r="J878" s="512" t="s">
        <v>779</v>
      </c>
      <c r="K878" s="512" t="b">
        <v>0</v>
      </c>
      <c r="L878" s="512">
        <v>6</v>
      </c>
      <c r="M878" s="513">
        <v>2028</v>
      </c>
      <c r="N878" s="514">
        <v>0</v>
      </c>
      <c r="O878" s="515">
        <v>44620</v>
      </c>
      <c r="P878" s="515">
        <v>44620</v>
      </c>
      <c r="Q878" s="516">
        <v>0</v>
      </c>
    </row>
    <row r="879" spans="1:17" ht="16.5">
      <c r="A879" s="9">
        <v>2022</v>
      </c>
      <c r="B879" s="10" t="s">
        <v>748</v>
      </c>
      <c r="C879" s="511" t="s">
        <v>749</v>
      </c>
      <c r="D879" s="512">
        <v>218000</v>
      </c>
      <c r="E879" s="512">
        <v>0</v>
      </c>
      <c r="F879" s="512"/>
      <c r="G879" s="512">
        <v>92100</v>
      </c>
      <c r="H879" s="512" t="s">
        <v>285</v>
      </c>
      <c r="I879" s="512"/>
      <c r="J879" s="512" t="s">
        <v>779</v>
      </c>
      <c r="K879" s="512" t="b">
        <v>0</v>
      </c>
      <c r="L879" s="512">
        <v>5</v>
      </c>
      <c r="M879" s="513">
        <v>2027</v>
      </c>
      <c r="N879" s="514">
        <v>0</v>
      </c>
      <c r="O879" s="515">
        <v>44620</v>
      </c>
      <c r="P879" s="515">
        <v>44620</v>
      </c>
      <c r="Q879" s="516">
        <v>0</v>
      </c>
    </row>
    <row r="880" spans="1:17" ht="16.5">
      <c r="A880" s="9">
        <v>2022</v>
      </c>
      <c r="B880" s="10" t="s">
        <v>748</v>
      </c>
      <c r="C880" s="511" t="s">
        <v>749</v>
      </c>
      <c r="D880" s="512">
        <v>218000</v>
      </c>
      <c r="E880" s="512">
        <v>0</v>
      </c>
      <c r="F880" s="512"/>
      <c r="G880" s="512">
        <v>92100</v>
      </c>
      <c r="H880" s="512" t="s">
        <v>285</v>
      </c>
      <c r="I880" s="512"/>
      <c r="J880" s="512" t="s">
        <v>779</v>
      </c>
      <c r="K880" s="512" t="b">
        <v>0</v>
      </c>
      <c r="L880" s="512">
        <v>2</v>
      </c>
      <c r="M880" s="513">
        <v>2024</v>
      </c>
      <c r="N880" s="514">
        <v>0</v>
      </c>
      <c r="O880" s="515">
        <v>44620</v>
      </c>
      <c r="P880" s="515">
        <v>44620</v>
      </c>
      <c r="Q880" s="516">
        <v>0</v>
      </c>
    </row>
    <row r="881" spans="1:17" ht="16.5">
      <c r="A881" s="9">
        <v>2022</v>
      </c>
      <c r="B881" s="10" t="s">
        <v>748</v>
      </c>
      <c r="C881" s="511" t="s">
        <v>749</v>
      </c>
      <c r="D881" s="512">
        <v>218000</v>
      </c>
      <c r="E881" s="512">
        <v>0</v>
      </c>
      <c r="F881" s="512"/>
      <c r="G881" s="512">
        <v>92100</v>
      </c>
      <c r="H881" s="512" t="s">
        <v>285</v>
      </c>
      <c r="I881" s="512"/>
      <c r="J881" s="512" t="s">
        <v>779</v>
      </c>
      <c r="K881" s="512" t="b">
        <v>0</v>
      </c>
      <c r="L881" s="512">
        <v>8</v>
      </c>
      <c r="M881" s="513">
        <v>2030</v>
      </c>
      <c r="N881" s="514">
        <v>0</v>
      </c>
      <c r="O881" s="515">
        <v>44620</v>
      </c>
      <c r="P881" s="515">
        <v>44620</v>
      </c>
      <c r="Q881" s="516">
        <v>0</v>
      </c>
    </row>
    <row r="882" spans="1:17" ht="16.5">
      <c r="A882" s="9">
        <v>2022</v>
      </c>
      <c r="B882" s="10" t="s">
        <v>748</v>
      </c>
      <c r="C882" s="511" t="s">
        <v>749</v>
      </c>
      <c r="D882" s="512">
        <v>218000</v>
      </c>
      <c r="E882" s="512">
        <v>0</v>
      </c>
      <c r="F882" s="512"/>
      <c r="G882" s="512">
        <v>92100</v>
      </c>
      <c r="H882" s="512" t="s">
        <v>285</v>
      </c>
      <c r="I882" s="512"/>
      <c r="J882" s="512" t="s">
        <v>779</v>
      </c>
      <c r="K882" s="512" t="b">
        <v>0</v>
      </c>
      <c r="L882" s="512">
        <v>7</v>
      </c>
      <c r="M882" s="513">
        <v>2029</v>
      </c>
      <c r="N882" s="514">
        <v>0</v>
      </c>
      <c r="O882" s="515">
        <v>44620</v>
      </c>
      <c r="P882" s="515">
        <v>44620</v>
      </c>
      <c r="Q882" s="516">
        <v>0</v>
      </c>
    </row>
    <row r="883" spans="1:17" ht="16.5">
      <c r="A883" s="9">
        <v>2022</v>
      </c>
      <c r="B883" s="10" t="s">
        <v>748</v>
      </c>
      <c r="C883" s="511" t="s">
        <v>749</v>
      </c>
      <c r="D883" s="512">
        <v>218000</v>
      </c>
      <c r="E883" s="512">
        <v>0</v>
      </c>
      <c r="F883" s="512"/>
      <c r="G883" s="512">
        <v>11200</v>
      </c>
      <c r="H883" s="512" t="s">
        <v>33</v>
      </c>
      <c r="I883" s="512"/>
      <c r="J883" s="512" t="s">
        <v>184</v>
      </c>
      <c r="K883" s="512" t="b">
        <v>1</v>
      </c>
      <c r="L883" s="512">
        <v>6</v>
      </c>
      <c r="M883" s="513">
        <v>2028</v>
      </c>
      <c r="N883" s="514">
        <v>1472638</v>
      </c>
      <c r="O883" s="515">
        <v>44620</v>
      </c>
      <c r="P883" s="515">
        <v>44620</v>
      </c>
      <c r="Q883" s="516">
        <v>0</v>
      </c>
    </row>
    <row r="884" spans="1:17" ht="16.5">
      <c r="A884" s="9">
        <v>2022</v>
      </c>
      <c r="B884" s="10" t="s">
        <v>748</v>
      </c>
      <c r="C884" s="511" t="s">
        <v>749</v>
      </c>
      <c r="D884" s="512">
        <v>218000</v>
      </c>
      <c r="E884" s="512">
        <v>0</v>
      </c>
      <c r="F884" s="512"/>
      <c r="G884" s="512">
        <v>11200</v>
      </c>
      <c r="H884" s="512" t="s">
        <v>33</v>
      </c>
      <c r="I884" s="512"/>
      <c r="J884" s="512" t="s">
        <v>184</v>
      </c>
      <c r="K884" s="512" t="b">
        <v>1</v>
      </c>
      <c r="L884" s="512">
        <v>8</v>
      </c>
      <c r="M884" s="513">
        <v>2030</v>
      </c>
      <c r="N884" s="514">
        <v>1562320</v>
      </c>
      <c r="O884" s="515">
        <v>44620</v>
      </c>
      <c r="P884" s="515">
        <v>44620</v>
      </c>
      <c r="Q884" s="516">
        <v>0</v>
      </c>
    </row>
    <row r="885" spans="1:17" ht="16.5">
      <c r="A885" s="9">
        <v>2022</v>
      </c>
      <c r="B885" s="10" t="s">
        <v>748</v>
      </c>
      <c r="C885" s="511" t="s">
        <v>749</v>
      </c>
      <c r="D885" s="512">
        <v>218000</v>
      </c>
      <c r="E885" s="512">
        <v>0</v>
      </c>
      <c r="F885" s="512"/>
      <c r="G885" s="512">
        <v>11200</v>
      </c>
      <c r="H885" s="512" t="s">
        <v>33</v>
      </c>
      <c r="I885" s="512"/>
      <c r="J885" s="512" t="s">
        <v>184</v>
      </c>
      <c r="K885" s="512" t="b">
        <v>1</v>
      </c>
      <c r="L885" s="512">
        <v>3</v>
      </c>
      <c r="M885" s="513">
        <v>2025</v>
      </c>
      <c r="N885" s="514">
        <v>1332094</v>
      </c>
      <c r="O885" s="515">
        <v>44620</v>
      </c>
      <c r="P885" s="515">
        <v>44620</v>
      </c>
      <c r="Q885" s="516">
        <v>0</v>
      </c>
    </row>
    <row r="886" spans="1:17" ht="16.5">
      <c r="A886" s="9">
        <v>2022</v>
      </c>
      <c r="B886" s="10" t="s">
        <v>748</v>
      </c>
      <c r="C886" s="511" t="s">
        <v>749</v>
      </c>
      <c r="D886" s="512">
        <v>218000</v>
      </c>
      <c r="E886" s="512">
        <v>0</v>
      </c>
      <c r="F886" s="512"/>
      <c r="G886" s="512">
        <v>11200</v>
      </c>
      <c r="H886" s="512" t="s">
        <v>33</v>
      </c>
      <c r="I886" s="512"/>
      <c r="J886" s="512" t="s">
        <v>184</v>
      </c>
      <c r="K886" s="512" t="b">
        <v>1</v>
      </c>
      <c r="L886" s="512">
        <v>0</v>
      </c>
      <c r="M886" s="513">
        <v>2022</v>
      </c>
      <c r="N886" s="514">
        <v>1199155</v>
      </c>
      <c r="O886" s="515">
        <v>44620</v>
      </c>
      <c r="P886" s="515">
        <v>44620</v>
      </c>
      <c r="Q886" s="516">
        <v>0</v>
      </c>
    </row>
    <row r="887" spans="1:17" ht="16.5">
      <c r="A887" s="9">
        <v>2022</v>
      </c>
      <c r="B887" s="10" t="s">
        <v>748</v>
      </c>
      <c r="C887" s="511" t="s">
        <v>749</v>
      </c>
      <c r="D887" s="512">
        <v>218000</v>
      </c>
      <c r="E887" s="512">
        <v>0</v>
      </c>
      <c r="F887" s="512"/>
      <c r="G887" s="512">
        <v>11200</v>
      </c>
      <c r="H887" s="512" t="s">
        <v>33</v>
      </c>
      <c r="I887" s="512"/>
      <c r="J887" s="512" t="s">
        <v>184</v>
      </c>
      <c r="K887" s="512" t="b">
        <v>1</v>
      </c>
      <c r="L887" s="512">
        <v>7</v>
      </c>
      <c r="M887" s="513">
        <v>2029</v>
      </c>
      <c r="N887" s="514">
        <v>1518290</v>
      </c>
      <c r="O887" s="515">
        <v>44620</v>
      </c>
      <c r="P887" s="515">
        <v>44620</v>
      </c>
      <c r="Q887" s="516">
        <v>0</v>
      </c>
    </row>
    <row r="888" spans="1:17" ht="16.5">
      <c r="A888" s="9">
        <v>2022</v>
      </c>
      <c r="B888" s="10" t="s">
        <v>748</v>
      </c>
      <c r="C888" s="511" t="s">
        <v>749</v>
      </c>
      <c r="D888" s="512">
        <v>218000</v>
      </c>
      <c r="E888" s="512">
        <v>0</v>
      </c>
      <c r="F888" s="512"/>
      <c r="G888" s="512">
        <v>11200</v>
      </c>
      <c r="H888" s="512" t="s">
        <v>33</v>
      </c>
      <c r="I888" s="512"/>
      <c r="J888" s="512" t="s">
        <v>184</v>
      </c>
      <c r="K888" s="512" t="b">
        <v>1</v>
      </c>
      <c r="L888" s="512">
        <v>10</v>
      </c>
      <c r="M888" s="513">
        <v>2032</v>
      </c>
      <c r="N888" s="514">
        <v>1649429</v>
      </c>
      <c r="O888" s="515">
        <v>44620</v>
      </c>
      <c r="P888" s="515">
        <v>44620</v>
      </c>
      <c r="Q888" s="516">
        <v>0</v>
      </c>
    </row>
    <row r="889" spans="1:17" ht="16.5">
      <c r="A889" s="9">
        <v>2022</v>
      </c>
      <c r="B889" s="10" t="s">
        <v>748</v>
      </c>
      <c r="C889" s="511" t="s">
        <v>749</v>
      </c>
      <c r="D889" s="512">
        <v>218000</v>
      </c>
      <c r="E889" s="512">
        <v>0</v>
      </c>
      <c r="F889" s="512"/>
      <c r="G889" s="512">
        <v>11200</v>
      </c>
      <c r="H889" s="512" t="s">
        <v>33</v>
      </c>
      <c r="I889" s="512"/>
      <c r="J889" s="512" t="s">
        <v>184</v>
      </c>
      <c r="K889" s="512" t="b">
        <v>1</v>
      </c>
      <c r="L889" s="512">
        <v>4</v>
      </c>
      <c r="M889" s="513">
        <v>2026</v>
      </c>
      <c r="N889" s="514">
        <v>1378717</v>
      </c>
      <c r="O889" s="515">
        <v>44620</v>
      </c>
      <c r="P889" s="515">
        <v>44620</v>
      </c>
      <c r="Q889" s="516">
        <v>0</v>
      </c>
    </row>
    <row r="890" spans="1:17" ht="16.5">
      <c r="A890" s="9">
        <v>2022</v>
      </c>
      <c r="B890" s="10" t="s">
        <v>748</v>
      </c>
      <c r="C890" s="511" t="s">
        <v>749</v>
      </c>
      <c r="D890" s="512">
        <v>218000</v>
      </c>
      <c r="E890" s="512">
        <v>0</v>
      </c>
      <c r="F890" s="512"/>
      <c r="G890" s="512">
        <v>11200</v>
      </c>
      <c r="H890" s="512" t="s">
        <v>33</v>
      </c>
      <c r="I890" s="512"/>
      <c r="J890" s="512" t="s">
        <v>184</v>
      </c>
      <c r="K890" s="512" t="b">
        <v>1</v>
      </c>
      <c r="L890" s="512">
        <v>2</v>
      </c>
      <c r="M890" s="513">
        <v>2024</v>
      </c>
      <c r="N890" s="514">
        <v>1287047</v>
      </c>
      <c r="O890" s="515">
        <v>44620</v>
      </c>
      <c r="P890" s="515">
        <v>44620</v>
      </c>
      <c r="Q890" s="516">
        <v>0</v>
      </c>
    </row>
    <row r="891" spans="1:17" ht="16.5">
      <c r="A891" s="9">
        <v>2022</v>
      </c>
      <c r="B891" s="10" t="s">
        <v>748</v>
      </c>
      <c r="C891" s="511" t="s">
        <v>749</v>
      </c>
      <c r="D891" s="512">
        <v>218000</v>
      </c>
      <c r="E891" s="512">
        <v>0</v>
      </c>
      <c r="F891" s="512"/>
      <c r="G891" s="512">
        <v>11200</v>
      </c>
      <c r="H891" s="512" t="s">
        <v>33</v>
      </c>
      <c r="I891" s="512"/>
      <c r="J891" s="512" t="s">
        <v>184</v>
      </c>
      <c r="K891" s="512" t="b">
        <v>1</v>
      </c>
      <c r="L891" s="512">
        <v>9</v>
      </c>
      <c r="M891" s="513">
        <v>2031</v>
      </c>
      <c r="N891" s="514">
        <v>1606065</v>
      </c>
      <c r="O891" s="515">
        <v>44620</v>
      </c>
      <c r="P891" s="515">
        <v>44620</v>
      </c>
      <c r="Q891" s="516">
        <v>0</v>
      </c>
    </row>
    <row r="892" spans="1:17" ht="16.5">
      <c r="A892" s="9">
        <v>2022</v>
      </c>
      <c r="B892" s="10" t="s">
        <v>748</v>
      </c>
      <c r="C892" s="511" t="s">
        <v>749</v>
      </c>
      <c r="D892" s="512">
        <v>218000</v>
      </c>
      <c r="E892" s="512">
        <v>0</v>
      </c>
      <c r="F892" s="512"/>
      <c r="G892" s="512">
        <v>11200</v>
      </c>
      <c r="H892" s="512" t="s">
        <v>33</v>
      </c>
      <c r="I892" s="512"/>
      <c r="J892" s="512" t="s">
        <v>184</v>
      </c>
      <c r="K892" s="512" t="b">
        <v>1</v>
      </c>
      <c r="L892" s="512">
        <v>11</v>
      </c>
      <c r="M892" s="513">
        <v>2033</v>
      </c>
      <c r="N892" s="514">
        <v>1692314</v>
      </c>
      <c r="O892" s="515">
        <v>44620</v>
      </c>
      <c r="P892" s="515">
        <v>44620</v>
      </c>
      <c r="Q892" s="516">
        <v>0</v>
      </c>
    </row>
    <row r="893" spans="1:17" ht="16.5">
      <c r="A893" s="9">
        <v>2022</v>
      </c>
      <c r="B893" s="10" t="s">
        <v>748</v>
      </c>
      <c r="C893" s="511" t="s">
        <v>749</v>
      </c>
      <c r="D893" s="512">
        <v>218000</v>
      </c>
      <c r="E893" s="512">
        <v>0</v>
      </c>
      <c r="F893" s="512"/>
      <c r="G893" s="512">
        <v>11200</v>
      </c>
      <c r="H893" s="512" t="s">
        <v>33</v>
      </c>
      <c r="I893" s="512"/>
      <c r="J893" s="512" t="s">
        <v>184</v>
      </c>
      <c r="K893" s="512" t="b">
        <v>1</v>
      </c>
      <c r="L893" s="512">
        <v>5</v>
      </c>
      <c r="M893" s="513">
        <v>2027</v>
      </c>
      <c r="N893" s="514">
        <v>1425593</v>
      </c>
      <c r="O893" s="515">
        <v>44620</v>
      </c>
      <c r="P893" s="515">
        <v>44620</v>
      </c>
      <c r="Q893" s="516">
        <v>0</v>
      </c>
    </row>
    <row r="894" spans="1:17" ht="16.5">
      <c r="A894" s="9">
        <v>2022</v>
      </c>
      <c r="B894" s="10" t="s">
        <v>748</v>
      </c>
      <c r="C894" s="511" t="s">
        <v>749</v>
      </c>
      <c r="D894" s="512">
        <v>218000</v>
      </c>
      <c r="E894" s="512">
        <v>0</v>
      </c>
      <c r="F894" s="512"/>
      <c r="G894" s="512">
        <v>11200</v>
      </c>
      <c r="H894" s="512" t="s">
        <v>33</v>
      </c>
      <c r="I894" s="512"/>
      <c r="J894" s="512" t="s">
        <v>184</v>
      </c>
      <c r="K894" s="512" t="b">
        <v>1</v>
      </c>
      <c r="L894" s="512">
        <v>1</v>
      </c>
      <c r="M894" s="513">
        <v>2023</v>
      </c>
      <c r="N894" s="514">
        <v>1243524</v>
      </c>
      <c r="O894" s="515">
        <v>44620</v>
      </c>
      <c r="P894" s="515">
        <v>44620</v>
      </c>
      <c r="Q894" s="516">
        <v>0</v>
      </c>
    </row>
    <row r="895" spans="1:17" ht="16.5">
      <c r="A895" s="9">
        <v>2022</v>
      </c>
      <c r="B895" s="10" t="s">
        <v>748</v>
      </c>
      <c r="C895" s="511" t="s">
        <v>749</v>
      </c>
      <c r="D895" s="512">
        <v>218000</v>
      </c>
      <c r="E895" s="512">
        <v>0</v>
      </c>
      <c r="F895" s="512"/>
      <c r="G895" s="512">
        <v>111100</v>
      </c>
      <c r="H895" s="512" t="s">
        <v>298</v>
      </c>
      <c r="I895" s="512"/>
      <c r="J895" s="512" t="s">
        <v>262</v>
      </c>
      <c r="K895" s="512" t="b">
        <v>1</v>
      </c>
      <c r="L895" s="512">
        <v>7</v>
      </c>
      <c r="M895" s="513">
        <v>2029</v>
      </c>
      <c r="N895" s="514">
        <v>0</v>
      </c>
      <c r="O895" s="515">
        <v>44620</v>
      </c>
      <c r="P895" s="515">
        <v>44620</v>
      </c>
      <c r="Q895" s="516">
        <v>0</v>
      </c>
    </row>
    <row r="896" spans="1:17" ht="16.5">
      <c r="A896" s="9">
        <v>2022</v>
      </c>
      <c r="B896" s="10" t="s">
        <v>748</v>
      </c>
      <c r="C896" s="511" t="s">
        <v>749</v>
      </c>
      <c r="D896" s="512">
        <v>218000</v>
      </c>
      <c r="E896" s="512">
        <v>0</v>
      </c>
      <c r="F896" s="512"/>
      <c r="G896" s="512">
        <v>111100</v>
      </c>
      <c r="H896" s="512" t="s">
        <v>298</v>
      </c>
      <c r="I896" s="512"/>
      <c r="J896" s="512" t="s">
        <v>262</v>
      </c>
      <c r="K896" s="512" t="b">
        <v>1</v>
      </c>
      <c r="L896" s="512">
        <v>6</v>
      </c>
      <c r="M896" s="513">
        <v>2028</v>
      </c>
      <c r="N896" s="514">
        <v>0</v>
      </c>
      <c r="O896" s="515">
        <v>44620</v>
      </c>
      <c r="P896" s="515">
        <v>44620</v>
      </c>
      <c r="Q896" s="516">
        <v>0</v>
      </c>
    </row>
    <row r="897" spans="1:17" ht="16.5">
      <c r="A897" s="9">
        <v>2022</v>
      </c>
      <c r="B897" s="10" t="s">
        <v>748</v>
      </c>
      <c r="C897" s="511" t="s">
        <v>749</v>
      </c>
      <c r="D897" s="512">
        <v>218000</v>
      </c>
      <c r="E897" s="512">
        <v>0</v>
      </c>
      <c r="F897" s="512"/>
      <c r="G897" s="512">
        <v>111100</v>
      </c>
      <c r="H897" s="512" t="s">
        <v>298</v>
      </c>
      <c r="I897" s="512"/>
      <c r="J897" s="512" t="s">
        <v>262</v>
      </c>
      <c r="K897" s="512" t="b">
        <v>1</v>
      </c>
      <c r="L897" s="512">
        <v>0</v>
      </c>
      <c r="M897" s="513">
        <v>2022</v>
      </c>
      <c r="N897" s="514">
        <v>0</v>
      </c>
      <c r="O897" s="515">
        <v>44620</v>
      </c>
      <c r="P897" s="515">
        <v>44620</v>
      </c>
      <c r="Q897" s="516">
        <v>0</v>
      </c>
    </row>
    <row r="898" spans="1:17" ht="16.5">
      <c r="A898" s="9">
        <v>2022</v>
      </c>
      <c r="B898" s="10" t="s">
        <v>748</v>
      </c>
      <c r="C898" s="511" t="s">
        <v>749</v>
      </c>
      <c r="D898" s="512">
        <v>218000</v>
      </c>
      <c r="E898" s="512">
        <v>0</v>
      </c>
      <c r="F898" s="512"/>
      <c r="G898" s="512">
        <v>111100</v>
      </c>
      <c r="H898" s="512" t="s">
        <v>298</v>
      </c>
      <c r="I898" s="512"/>
      <c r="J898" s="512" t="s">
        <v>262</v>
      </c>
      <c r="K898" s="512" t="b">
        <v>1</v>
      </c>
      <c r="L898" s="512">
        <v>2</v>
      </c>
      <c r="M898" s="513">
        <v>2024</v>
      </c>
      <c r="N898" s="514">
        <v>0</v>
      </c>
      <c r="O898" s="515">
        <v>44620</v>
      </c>
      <c r="P898" s="515">
        <v>44620</v>
      </c>
      <c r="Q898" s="516">
        <v>0</v>
      </c>
    </row>
    <row r="899" spans="1:17" ht="16.5">
      <c r="A899" s="9">
        <v>2022</v>
      </c>
      <c r="B899" s="10" t="s">
        <v>748</v>
      </c>
      <c r="C899" s="511" t="s">
        <v>749</v>
      </c>
      <c r="D899" s="512">
        <v>218000</v>
      </c>
      <c r="E899" s="512">
        <v>0</v>
      </c>
      <c r="F899" s="512"/>
      <c r="G899" s="512">
        <v>111100</v>
      </c>
      <c r="H899" s="512" t="s">
        <v>298</v>
      </c>
      <c r="I899" s="512"/>
      <c r="J899" s="512" t="s">
        <v>262</v>
      </c>
      <c r="K899" s="512" t="b">
        <v>1</v>
      </c>
      <c r="L899" s="512">
        <v>9</v>
      </c>
      <c r="M899" s="513">
        <v>2031</v>
      </c>
      <c r="N899" s="514">
        <v>0</v>
      </c>
      <c r="O899" s="515">
        <v>44620</v>
      </c>
      <c r="P899" s="515">
        <v>44620</v>
      </c>
      <c r="Q899" s="516">
        <v>0</v>
      </c>
    </row>
    <row r="900" spans="1:17" ht="16.5">
      <c r="A900" s="9">
        <v>2022</v>
      </c>
      <c r="B900" s="10" t="s">
        <v>748</v>
      </c>
      <c r="C900" s="511" t="s">
        <v>749</v>
      </c>
      <c r="D900" s="512">
        <v>218000</v>
      </c>
      <c r="E900" s="512">
        <v>0</v>
      </c>
      <c r="F900" s="512"/>
      <c r="G900" s="512">
        <v>111100</v>
      </c>
      <c r="H900" s="512" t="s">
        <v>298</v>
      </c>
      <c r="I900" s="512"/>
      <c r="J900" s="512" t="s">
        <v>262</v>
      </c>
      <c r="K900" s="512" t="b">
        <v>1</v>
      </c>
      <c r="L900" s="512">
        <v>11</v>
      </c>
      <c r="M900" s="513">
        <v>2033</v>
      </c>
      <c r="N900" s="514">
        <v>0</v>
      </c>
      <c r="O900" s="515">
        <v>44620</v>
      </c>
      <c r="P900" s="515">
        <v>44620</v>
      </c>
      <c r="Q900" s="516">
        <v>0</v>
      </c>
    </row>
    <row r="901" spans="1:17" ht="16.5">
      <c r="A901" s="9">
        <v>2022</v>
      </c>
      <c r="B901" s="10" t="s">
        <v>748</v>
      </c>
      <c r="C901" s="511" t="s">
        <v>749</v>
      </c>
      <c r="D901" s="512">
        <v>218000</v>
      </c>
      <c r="E901" s="512">
        <v>0</v>
      </c>
      <c r="F901" s="512"/>
      <c r="G901" s="512">
        <v>111100</v>
      </c>
      <c r="H901" s="512" t="s">
        <v>298</v>
      </c>
      <c r="I901" s="512"/>
      <c r="J901" s="512" t="s">
        <v>262</v>
      </c>
      <c r="K901" s="512" t="b">
        <v>1</v>
      </c>
      <c r="L901" s="512">
        <v>1</v>
      </c>
      <c r="M901" s="513">
        <v>2023</v>
      </c>
      <c r="N901" s="514">
        <v>0</v>
      </c>
      <c r="O901" s="515">
        <v>44620</v>
      </c>
      <c r="P901" s="515">
        <v>44620</v>
      </c>
      <c r="Q901" s="516">
        <v>0</v>
      </c>
    </row>
    <row r="902" spans="1:17" ht="16.5">
      <c r="A902" s="9">
        <v>2022</v>
      </c>
      <c r="B902" s="10" t="s">
        <v>748</v>
      </c>
      <c r="C902" s="511" t="s">
        <v>749</v>
      </c>
      <c r="D902" s="512">
        <v>218000</v>
      </c>
      <c r="E902" s="512">
        <v>0</v>
      </c>
      <c r="F902" s="512"/>
      <c r="G902" s="512">
        <v>111100</v>
      </c>
      <c r="H902" s="512" t="s">
        <v>298</v>
      </c>
      <c r="I902" s="512"/>
      <c r="J902" s="512" t="s">
        <v>262</v>
      </c>
      <c r="K902" s="512" t="b">
        <v>1</v>
      </c>
      <c r="L902" s="512">
        <v>3</v>
      </c>
      <c r="M902" s="513">
        <v>2025</v>
      </c>
      <c r="N902" s="514">
        <v>0</v>
      </c>
      <c r="O902" s="515">
        <v>44620</v>
      </c>
      <c r="P902" s="515">
        <v>44620</v>
      </c>
      <c r="Q902" s="516">
        <v>0</v>
      </c>
    </row>
    <row r="903" spans="1:17" ht="16.5">
      <c r="A903" s="9">
        <v>2022</v>
      </c>
      <c r="B903" s="10" t="s">
        <v>748</v>
      </c>
      <c r="C903" s="511" t="s">
        <v>749</v>
      </c>
      <c r="D903" s="512">
        <v>218000</v>
      </c>
      <c r="E903" s="512">
        <v>0</v>
      </c>
      <c r="F903" s="512"/>
      <c r="G903" s="512">
        <v>111100</v>
      </c>
      <c r="H903" s="512" t="s">
        <v>298</v>
      </c>
      <c r="I903" s="512"/>
      <c r="J903" s="512" t="s">
        <v>262</v>
      </c>
      <c r="K903" s="512" t="b">
        <v>1</v>
      </c>
      <c r="L903" s="512">
        <v>10</v>
      </c>
      <c r="M903" s="513">
        <v>2032</v>
      </c>
      <c r="N903" s="514">
        <v>0</v>
      </c>
      <c r="O903" s="515">
        <v>44620</v>
      </c>
      <c r="P903" s="515">
        <v>44620</v>
      </c>
      <c r="Q903" s="516">
        <v>0</v>
      </c>
    </row>
    <row r="904" spans="1:17" ht="16.5">
      <c r="A904" s="9">
        <v>2022</v>
      </c>
      <c r="B904" s="10" t="s">
        <v>748</v>
      </c>
      <c r="C904" s="511" t="s">
        <v>749</v>
      </c>
      <c r="D904" s="512">
        <v>218000</v>
      </c>
      <c r="E904" s="512">
        <v>0</v>
      </c>
      <c r="F904" s="512"/>
      <c r="G904" s="512">
        <v>111100</v>
      </c>
      <c r="H904" s="512" t="s">
        <v>298</v>
      </c>
      <c r="I904" s="512"/>
      <c r="J904" s="512" t="s">
        <v>262</v>
      </c>
      <c r="K904" s="512" t="b">
        <v>1</v>
      </c>
      <c r="L904" s="512">
        <v>8</v>
      </c>
      <c r="M904" s="513">
        <v>2030</v>
      </c>
      <c r="N904" s="514">
        <v>0</v>
      </c>
      <c r="O904" s="515">
        <v>44620</v>
      </c>
      <c r="P904" s="515">
        <v>44620</v>
      </c>
      <c r="Q904" s="516">
        <v>0</v>
      </c>
    </row>
    <row r="905" spans="1:17" ht="16.5">
      <c r="A905" s="9">
        <v>2022</v>
      </c>
      <c r="B905" s="10" t="s">
        <v>748</v>
      </c>
      <c r="C905" s="511" t="s">
        <v>749</v>
      </c>
      <c r="D905" s="512">
        <v>218000</v>
      </c>
      <c r="E905" s="512">
        <v>0</v>
      </c>
      <c r="F905" s="512"/>
      <c r="G905" s="512">
        <v>111100</v>
      </c>
      <c r="H905" s="512" t="s">
        <v>298</v>
      </c>
      <c r="I905" s="512"/>
      <c r="J905" s="512" t="s">
        <v>262</v>
      </c>
      <c r="K905" s="512" t="b">
        <v>1</v>
      </c>
      <c r="L905" s="512">
        <v>5</v>
      </c>
      <c r="M905" s="513">
        <v>2027</v>
      </c>
      <c r="N905" s="514">
        <v>0</v>
      </c>
      <c r="O905" s="515">
        <v>44620</v>
      </c>
      <c r="P905" s="515">
        <v>44620</v>
      </c>
      <c r="Q905" s="516">
        <v>0</v>
      </c>
    </row>
    <row r="906" spans="1:17" ht="16.5">
      <c r="A906" s="9">
        <v>2022</v>
      </c>
      <c r="B906" s="10" t="s">
        <v>748</v>
      </c>
      <c r="C906" s="511" t="s">
        <v>749</v>
      </c>
      <c r="D906" s="512">
        <v>218000</v>
      </c>
      <c r="E906" s="512">
        <v>0</v>
      </c>
      <c r="F906" s="512"/>
      <c r="G906" s="512">
        <v>111100</v>
      </c>
      <c r="H906" s="512" t="s">
        <v>298</v>
      </c>
      <c r="I906" s="512"/>
      <c r="J906" s="512" t="s">
        <v>262</v>
      </c>
      <c r="K906" s="512" t="b">
        <v>1</v>
      </c>
      <c r="L906" s="512">
        <v>4</v>
      </c>
      <c r="M906" s="513">
        <v>2026</v>
      </c>
      <c r="N906" s="514">
        <v>0</v>
      </c>
      <c r="O906" s="515">
        <v>44620</v>
      </c>
      <c r="P906" s="515">
        <v>44620</v>
      </c>
      <c r="Q906" s="516">
        <v>0</v>
      </c>
    </row>
    <row r="907" spans="1:17" ht="16.5">
      <c r="A907" s="9">
        <v>2022</v>
      </c>
      <c r="B907" s="10" t="s">
        <v>748</v>
      </c>
      <c r="C907" s="511" t="s">
        <v>749</v>
      </c>
      <c r="D907" s="512">
        <v>218000</v>
      </c>
      <c r="E907" s="512">
        <v>0</v>
      </c>
      <c r="F907" s="512"/>
      <c r="G907" s="512">
        <v>107200</v>
      </c>
      <c r="H907" s="512" t="s">
        <v>294</v>
      </c>
      <c r="I907" s="512"/>
      <c r="J907" s="512" t="s">
        <v>255</v>
      </c>
      <c r="K907" s="512" t="b">
        <v>1</v>
      </c>
      <c r="L907" s="512">
        <v>5</v>
      </c>
      <c r="M907" s="513">
        <v>2027</v>
      </c>
      <c r="N907" s="514">
        <v>0</v>
      </c>
      <c r="O907" s="515">
        <v>44620</v>
      </c>
      <c r="P907" s="515">
        <v>44620</v>
      </c>
      <c r="Q907" s="516">
        <v>0</v>
      </c>
    </row>
    <row r="908" spans="1:17" ht="16.5">
      <c r="A908" s="9">
        <v>2022</v>
      </c>
      <c r="B908" s="10" t="s">
        <v>748</v>
      </c>
      <c r="C908" s="511" t="s">
        <v>749</v>
      </c>
      <c r="D908" s="512">
        <v>218000</v>
      </c>
      <c r="E908" s="512">
        <v>0</v>
      </c>
      <c r="F908" s="512"/>
      <c r="G908" s="512">
        <v>107200</v>
      </c>
      <c r="H908" s="512" t="s">
        <v>294</v>
      </c>
      <c r="I908" s="512"/>
      <c r="J908" s="512" t="s">
        <v>255</v>
      </c>
      <c r="K908" s="512" t="b">
        <v>1</v>
      </c>
      <c r="L908" s="512">
        <v>4</v>
      </c>
      <c r="M908" s="513">
        <v>2026</v>
      </c>
      <c r="N908" s="514">
        <v>0</v>
      </c>
      <c r="O908" s="515">
        <v>44620</v>
      </c>
      <c r="P908" s="515">
        <v>44620</v>
      </c>
      <c r="Q908" s="516">
        <v>0</v>
      </c>
    </row>
    <row r="909" spans="1:17" ht="16.5">
      <c r="A909" s="9">
        <v>2022</v>
      </c>
      <c r="B909" s="10" t="s">
        <v>748</v>
      </c>
      <c r="C909" s="511" t="s">
        <v>749</v>
      </c>
      <c r="D909" s="512">
        <v>218000</v>
      </c>
      <c r="E909" s="512">
        <v>0</v>
      </c>
      <c r="F909" s="512"/>
      <c r="G909" s="512">
        <v>107200</v>
      </c>
      <c r="H909" s="512" t="s">
        <v>294</v>
      </c>
      <c r="I909" s="512"/>
      <c r="J909" s="512" t="s">
        <v>255</v>
      </c>
      <c r="K909" s="512" t="b">
        <v>1</v>
      </c>
      <c r="L909" s="512">
        <v>3</v>
      </c>
      <c r="M909" s="513">
        <v>2025</v>
      </c>
      <c r="N909" s="514">
        <v>0</v>
      </c>
      <c r="O909" s="515">
        <v>44620</v>
      </c>
      <c r="P909" s="515">
        <v>44620</v>
      </c>
      <c r="Q909" s="516">
        <v>0</v>
      </c>
    </row>
    <row r="910" spans="1:17" ht="16.5">
      <c r="A910" s="9">
        <v>2022</v>
      </c>
      <c r="B910" s="10" t="s">
        <v>748</v>
      </c>
      <c r="C910" s="511" t="s">
        <v>749</v>
      </c>
      <c r="D910" s="512">
        <v>218000</v>
      </c>
      <c r="E910" s="512">
        <v>0</v>
      </c>
      <c r="F910" s="512"/>
      <c r="G910" s="512">
        <v>107200</v>
      </c>
      <c r="H910" s="512" t="s">
        <v>294</v>
      </c>
      <c r="I910" s="512"/>
      <c r="J910" s="512" t="s">
        <v>255</v>
      </c>
      <c r="K910" s="512" t="b">
        <v>1</v>
      </c>
      <c r="L910" s="512">
        <v>7</v>
      </c>
      <c r="M910" s="513">
        <v>2029</v>
      </c>
      <c r="N910" s="514">
        <v>0</v>
      </c>
      <c r="O910" s="515">
        <v>44620</v>
      </c>
      <c r="P910" s="515">
        <v>44620</v>
      </c>
      <c r="Q910" s="516">
        <v>0</v>
      </c>
    </row>
    <row r="911" spans="1:17" ht="16.5">
      <c r="A911" s="9">
        <v>2022</v>
      </c>
      <c r="B911" s="10" t="s">
        <v>748</v>
      </c>
      <c r="C911" s="511" t="s">
        <v>749</v>
      </c>
      <c r="D911" s="512">
        <v>218000</v>
      </c>
      <c r="E911" s="512">
        <v>0</v>
      </c>
      <c r="F911" s="512"/>
      <c r="G911" s="512">
        <v>107200</v>
      </c>
      <c r="H911" s="512" t="s">
        <v>294</v>
      </c>
      <c r="I911" s="512"/>
      <c r="J911" s="512" t="s">
        <v>255</v>
      </c>
      <c r="K911" s="512" t="b">
        <v>1</v>
      </c>
      <c r="L911" s="512">
        <v>9</v>
      </c>
      <c r="M911" s="513">
        <v>2031</v>
      </c>
      <c r="N911" s="514">
        <v>0</v>
      </c>
      <c r="O911" s="515">
        <v>44620</v>
      </c>
      <c r="P911" s="515">
        <v>44620</v>
      </c>
      <c r="Q911" s="516">
        <v>0</v>
      </c>
    </row>
    <row r="912" spans="1:17" ht="16.5">
      <c r="A912" s="9">
        <v>2022</v>
      </c>
      <c r="B912" s="10" t="s">
        <v>748</v>
      </c>
      <c r="C912" s="511" t="s">
        <v>749</v>
      </c>
      <c r="D912" s="512">
        <v>218000</v>
      </c>
      <c r="E912" s="512">
        <v>0</v>
      </c>
      <c r="F912" s="512"/>
      <c r="G912" s="512">
        <v>107200</v>
      </c>
      <c r="H912" s="512" t="s">
        <v>294</v>
      </c>
      <c r="I912" s="512"/>
      <c r="J912" s="512" t="s">
        <v>255</v>
      </c>
      <c r="K912" s="512" t="b">
        <v>1</v>
      </c>
      <c r="L912" s="512">
        <v>10</v>
      </c>
      <c r="M912" s="513">
        <v>2032</v>
      </c>
      <c r="N912" s="514">
        <v>0</v>
      </c>
      <c r="O912" s="515">
        <v>44620</v>
      </c>
      <c r="P912" s="515">
        <v>44620</v>
      </c>
      <c r="Q912" s="516">
        <v>0</v>
      </c>
    </row>
    <row r="913" spans="1:17" ht="16.5">
      <c r="A913" s="9">
        <v>2022</v>
      </c>
      <c r="B913" s="10" t="s">
        <v>748</v>
      </c>
      <c r="C913" s="511" t="s">
        <v>749</v>
      </c>
      <c r="D913" s="512">
        <v>218000</v>
      </c>
      <c r="E913" s="512">
        <v>0</v>
      </c>
      <c r="F913" s="512"/>
      <c r="G913" s="512">
        <v>107200</v>
      </c>
      <c r="H913" s="512" t="s">
        <v>294</v>
      </c>
      <c r="I913" s="512"/>
      <c r="J913" s="512" t="s">
        <v>255</v>
      </c>
      <c r="K913" s="512" t="b">
        <v>1</v>
      </c>
      <c r="L913" s="512">
        <v>6</v>
      </c>
      <c r="M913" s="513">
        <v>2028</v>
      </c>
      <c r="N913" s="514">
        <v>0</v>
      </c>
      <c r="O913" s="515">
        <v>44620</v>
      </c>
      <c r="P913" s="515">
        <v>44620</v>
      </c>
      <c r="Q913" s="516">
        <v>0</v>
      </c>
    </row>
    <row r="914" spans="1:17" ht="16.5">
      <c r="A914" s="9">
        <v>2022</v>
      </c>
      <c r="B914" s="10" t="s">
        <v>748</v>
      </c>
      <c r="C914" s="511" t="s">
        <v>749</v>
      </c>
      <c r="D914" s="512">
        <v>218000</v>
      </c>
      <c r="E914" s="512">
        <v>0</v>
      </c>
      <c r="F914" s="512"/>
      <c r="G914" s="512">
        <v>107200</v>
      </c>
      <c r="H914" s="512" t="s">
        <v>294</v>
      </c>
      <c r="I914" s="512"/>
      <c r="J914" s="512" t="s">
        <v>255</v>
      </c>
      <c r="K914" s="512" t="b">
        <v>1</v>
      </c>
      <c r="L914" s="512">
        <v>2</v>
      </c>
      <c r="M914" s="513">
        <v>2024</v>
      </c>
      <c r="N914" s="514">
        <v>0</v>
      </c>
      <c r="O914" s="515">
        <v>44620</v>
      </c>
      <c r="P914" s="515">
        <v>44620</v>
      </c>
      <c r="Q914" s="516">
        <v>0</v>
      </c>
    </row>
    <row r="915" spans="1:17" ht="16.5">
      <c r="A915" s="9">
        <v>2022</v>
      </c>
      <c r="B915" s="10" t="s">
        <v>748</v>
      </c>
      <c r="C915" s="511" t="s">
        <v>749</v>
      </c>
      <c r="D915" s="512">
        <v>218000</v>
      </c>
      <c r="E915" s="512">
        <v>0</v>
      </c>
      <c r="F915" s="512"/>
      <c r="G915" s="512">
        <v>107200</v>
      </c>
      <c r="H915" s="512" t="s">
        <v>294</v>
      </c>
      <c r="I915" s="512"/>
      <c r="J915" s="512" t="s">
        <v>255</v>
      </c>
      <c r="K915" s="512" t="b">
        <v>1</v>
      </c>
      <c r="L915" s="512">
        <v>0</v>
      </c>
      <c r="M915" s="513">
        <v>2022</v>
      </c>
      <c r="N915" s="514">
        <v>0</v>
      </c>
      <c r="O915" s="515">
        <v>44620</v>
      </c>
      <c r="P915" s="515">
        <v>44620</v>
      </c>
      <c r="Q915" s="516">
        <v>0</v>
      </c>
    </row>
    <row r="916" spans="1:17" ht="16.5">
      <c r="A916" s="9">
        <v>2022</v>
      </c>
      <c r="B916" s="10" t="s">
        <v>748</v>
      </c>
      <c r="C916" s="511" t="s">
        <v>749</v>
      </c>
      <c r="D916" s="512">
        <v>218000</v>
      </c>
      <c r="E916" s="512">
        <v>0</v>
      </c>
      <c r="F916" s="512"/>
      <c r="G916" s="512">
        <v>107200</v>
      </c>
      <c r="H916" s="512" t="s">
        <v>294</v>
      </c>
      <c r="I916" s="512"/>
      <c r="J916" s="512" t="s">
        <v>255</v>
      </c>
      <c r="K916" s="512" t="b">
        <v>1</v>
      </c>
      <c r="L916" s="512">
        <v>1</v>
      </c>
      <c r="M916" s="513">
        <v>2023</v>
      </c>
      <c r="N916" s="514">
        <v>0</v>
      </c>
      <c r="O916" s="515">
        <v>44620</v>
      </c>
      <c r="P916" s="515">
        <v>44620</v>
      </c>
      <c r="Q916" s="516">
        <v>0</v>
      </c>
    </row>
    <row r="917" spans="1:17" ht="16.5">
      <c r="A917" s="9">
        <v>2022</v>
      </c>
      <c r="B917" s="10" t="s">
        <v>748</v>
      </c>
      <c r="C917" s="511" t="s">
        <v>749</v>
      </c>
      <c r="D917" s="512">
        <v>218000</v>
      </c>
      <c r="E917" s="512">
        <v>0</v>
      </c>
      <c r="F917" s="512"/>
      <c r="G917" s="512">
        <v>107200</v>
      </c>
      <c r="H917" s="512" t="s">
        <v>294</v>
      </c>
      <c r="I917" s="512"/>
      <c r="J917" s="512" t="s">
        <v>255</v>
      </c>
      <c r="K917" s="512" t="b">
        <v>1</v>
      </c>
      <c r="L917" s="512">
        <v>11</v>
      </c>
      <c r="M917" s="513">
        <v>2033</v>
      </c>
      <c r="N917" s="514">
        <v>0</v>
      </c>
      <c r="O917" s="515">
        <v>44620</v>
      </c>
      <c r="P917" s="515">
        <v>44620</v>
      </c>
      <c r="Q917" s="516">
        <v>0</v>
      </c>
    </row>
    <row r="918" spans="1:17" ht="16.5">
      <c r="A918" s="9">
        <v>2022</v>
      </c>
      <c r="B918" s="10" t="s">
        <v>748</v>
      </c>
      <c r="C918" s="511" t="s">
        <v>749</v>
      </c>
      <c r="D918" s="512">
        <v>218000</v>
      </c>
      <c r="E918" s="512">
        <v>0</v>
      </c>
      <c r="F918" s="512"/>
      <c r="G918" s="512">
        <v>107200</v>
      </c>
      <c r="H918" s="512" t="s">
        <v>294</v>
      </c>
      <c r="I918" s="512"/>
      <c r="J918" s="512" t="s">
        <v>255</v>
      </c>
      <c r="K918" s="512" t="b">
        <v>1</v>
      </c>
      <c r="L918" s="512">
        <v>8</v>
      </c>
      <c r="M918" s="513">
        <v>2030</v>
      </c>
      <c r="N918" s="514">
        <v>0</v>
      </c>
      <c r="O918" s="515">
        <v>44620</v>
      </c>
      <c r="P918" s="515">
        <v>44620</v>
      </c>
      <c r="Q918" s="516">
        <v>0</v>
      </c>
    </row>
    <row r="919" spans="1:17" ht="16.5">
      <c r="A919" s="9">
        <v>2022</v>
      </c>
      <c r="B919" s="10" t="s">
        <v>748</v>
      </c>
      <c r="C919" s="511" t="s">
        <v>749</v>
      </c>
      <c r="D919" s="512">
        <v>218000</v>
      </c>
      <c r="E919" s="512">
        <v>0</v>
      </c>
      <c r="F919" s="512"/>
      <c r="G919" s="512">
        <v>120000</v>
      </c>
      <c r="H919" s="512">
        <v>12</v>
      </c>
      <c r="I919" s="512"/>
      <c r="J919" s="512" t="s">
        <v>780</v>
      </c>
      <c r="K919" s="512" t="b">
        <v>1</v>
      </c>
      <c r="L919" s="512">
        <v>9</v>
      </c>
      <c r="M919" s="513">
        <v>2031</v>
      </c>
      <c r="N919" s="514">
        <v>0</v>
      </c>
      <c r="O919" s="515">
        <v>44620</v>
      </c>
      <c r="P919" s="515">
        <v>44620</v>
      </c>
      <c r="Q919" s="516">
        <v>0</v>
      </c>
    </row>
    <row r="920" spans="1:17" ht="16.5">
      <c r="A920" s="9">
        <v>2022</v>
      </c>
      <c r="B920" s="10" t="s">
        <v>748</v>
      </c>
      <c r="C920" s="511" t="s">
        <v>749</v>
      </c>
      <c r="D920" s="512">
        <v>218000</v>
      </c>
      <c r="E920" s="512">
        <v>0</v>
      </c>
      <c r="F920" s="512"/>
      <c r="G920" s="512">
        <v>120000</v>
      </c>
      <c r="H920" s="512">
        <v>12</v>
      </c>
      <c r="I920" s="512"/>
      <c r="J920" s="512" t="s">
        <v>780</v>
      </c>
      <c r="K920" s="512" t="b">
        <v>1</v>
      </c>
      <c r="L920" s="512">
        <v>7</v>
      </c>
      <c r="M920" s="513">
        <v>2029</v>
      </c>
      <c r="N920" s="514">
        <v>0</v>
      </c>
      <c r="O920" s="515">
        <v>44620</v>
      </c>
      <c r="P920" s="515">
        <v>44620</v>
      </c>
      <c r="Q920" s="516">
        <v>0</v>
      </c>
    </row>
    <row r="921" spans="1:17" ht="16.5">
      <c r="A921" s="9">
        <v>2022</v>
      </c>
      <c r="B921" s="10" t="s">
        <v>748</v>
      </c>
      <c r="C921" s="511" t="s">
        <v>749</v>
      </c>
      <c r="D921" s="512">
        <v>218000</v>
      </c>
      <c r="E921" s="512">
        <v>0</v>
      </c>
      <c r="F921" s="512"/>
      <c r="G921" s="512">
        <v>120000</v>
      </c>
      <c r="H921" s="512">
        <v>12</v>
      </c>
      <c r="I921" s="512"/>
      <c r="J921" s="512" t="s">
        <v>780</v>
      </c>
      <c r="K921" s="512" t="b">
        <v>1</v>
      </c>
      <c r="L921" s="512">
        <v>11</v>
      </c>
      <c r="M921" s="513">
        <v>2033</v>
      </c>
      <c r="N921" s="514">
        <v>0</v>
      </c>
      <c r="O921" s="515">
        <v>44620</v>
      </c>
      <c r="P921" s="515">
        <v>44620</v>
      </c>
      <c r="Q921" s="516">
        <v>0</v>
      </c>
    </row>
    <row r="922" spans="1:17" ht="16.5">
      <c r="A922" s="9">
        <v>2022</v>
      </c>
      <c r="B922" s="10" t="s">
        <v>748</v>
      </c>
      <c r="C922" s="511" t="s">
        <v>749</v>
      </c>
      <c r="D922" s="512">
        <v>218000</v>
      </c>
      <c r="E922" s="512">
        <v>0</v>
      </c>
      <c r="F922" s="512"/>
      <c r="G922" s="512">
        <v>120000</v>
      </c>
      <c r="H922" s="512">
        <v>12</v>
      </c>
      <c r="I922" s="512"/>
      <c r="J922" s="512" t="s">
        <v>780</v>
      </c>
      <c r="K922" s="512" t="b">
        <v>1</v>
      </c>
      <c r="L922" s="512">
        <v>6</v>
      </c>
      <c r="M922" s="513">
        <v>2028</v>
      </c>
      <c r="N922" s="514">
        <v>0</v>
      </c>
      <c r="O922" s="515">
        <v>44620</v>
      </c>
      <c r="P922" s="515">
        <v>44620</v>
      </c>
      <c r="Q922" s="516">
        <v>0</v>
      </c>
    </row>
    <row r="923" spans="1:17" ht="16.5">
      <c r="A923" s="9">
        <v>2022</v>
      </c>
      <c r="B923" s="10" t="s">
        <v>748</v>
      </c>
      <c r="C923" s="511" t="s">
        <v>749</v>
      </c>
      <c r="D923" s="512">
        <v>218000</v>
      </c>
      <c r="E923" s="512">
        <v>0</v>
      </c>
      <c r="F923" s="512"/>
      <c r="G923" s="512">
        <v>120000</v>
      </c>
      <c r="H923" s="512">
        <v>12</v>
      </c>
      <c r="I923" s="512"/>
      <c r="J923" s="512" t="s">
        <v>780</v>
      </c>
      <c r="K923" s="512" t="b">
        <v>1</v>
      </c>
      <c r="L923" s="512">
        <v>5</v>
      </c>
      <c r="M923" s="513">
        <v>2027</v>
      </c>
      <c r="N923" s="514">
        <v>0</v>
      </c>
      <c r="O923" s="515">
        <v>44620</v>
      </c>
      <c r="P923" s="515">
        <v>44620</v>
      </c>
      <c r="Q923" s="516">
        <v>0</v>
      </c>
    </row>
    <row r="924" spans="1:17" ht="16.5">
      <c r="A924" s="9">
        <v>2022</v>
      </c>
      <c r="B924" s="10" t="s">
        <v>748</v>
      </c>
      <c r="C924" s="511" t="s">
        <v>749</v>
      </c>
      <c r="D924" s="512">
        <v>218000</v>
      </c>
      <c r="E924" s="512">
        <v>0</v>
      </c>
      <c r="F924" s="512"/>
      <c r="G924" s="512">
        <v>120000</v>
      </c>
      <c r="H924" s="512">
        <v>12</v>
      </c>
      <c r="I924" s="512"/>
      <c r="J924" s="512" t="s">
        <v>780</v>
      </c>
      <c r="K924" s="512" t="b">
        <v>1</v>
      </c>
      <c r="L924" s="512">
        <v>10</v>
      </c>
      <c r="M924" s="513">
        <v>2032</v>
      </c>
      <c r="N924" s="514">
        <v>0</v>
      </c>
      <c r="O924" s="515">
        <v>44620</v>
      </c>
      <c r="P924" s="515">
        <v>44620</v>
      </c>
      <c r="Q924" s="516">
        <v>0</v>
      </c>
    </row>
    <row r="925" spans="1:17" ht="16.5">
      <c r="A925" s="9">
        <v>2022</v>
      </c>
      <c r="B925" s="10" t="s">
        <v>748</v>
      </c>
      <c r="C925" s="511" t="s">
        <v>749</v>
      </c>
      <c r="D925" s="512">
        <v>218000</v>
      </c>
      <c r="E925" s="512">
        <v>0</v>
      </c>
      <c r="F925" s="512"/>
      <c r="G925" s="512">
        <v>120000</v>
      </c>
      <c r="H925" s="512">
        <v>12</v>
      </c>
      <c r="I925" s="512"/>
      <c r="J925" s="512" t="s">
        <v>780</v>
      </c>
      <c r="K925" s="512" t="b">
        <v>1</v>
      </c>
      <c r="L925" s="512">
        <v>8</v>
      </c>
      <c r="M925" s="513">
        <v>2030</v>
      </c>
      <c r="N925" s="514">
        <v>0</v>
      </c>
      <c r="O925" s="515">
        <v>44620</v>
      </c>
      <c r="P925" s="515">
        <v>44620</v>
      </c>
      <c r="Q925" s="516">
        <v>0</v>
      </c>
    </row>
    <row r="926" spans="1:17" ht="16.5">
      <c r="A926" s="9">
        <v>2022</v>
      </c>
      <c r="B926" s="10" t="s">
        <v>748</v>
      </c>
      <c r="C926" s="511" t="s">
        <v>749</v>
      </c>
      <c r="D926" s="512">
        <v>218000</v>
      </c>
      <c r="E926" s="512">
        <v>0</v>
      </c>
      <c r="F926" s="512"/>
      <c r="G926" s="512">
        <v>120000</v>
      </c>
      <c r="H926" s="512">
        <v>12</v>
      </c>
      <c r="I926" s="512"/>
      <c r="J926" s="512" t="s">
        <v>780</v>
      </c>
      <c r="K926" s="512" t="b">
        <v>1</v>
      </c>
      <c r="L926" s="512">
        <v>1</v>
      </c>
      <c r="M926" s="513">
        <v>2023</v>
      </c>
      <c r="N926" s="514">
        <v>0</v>
      </c>
      <c r="O926" s="515">
        <v>44620</v>
      </c>
      <c r="P926" s="515">
        <v>44620</v>
      </c>
      <c r="Q926" s="516">
        <v>0</v>
      </c>
    </row>
    <row r="927" spans="1:17" ht="16.5">
      <c r="A927" s="9">
        <v>2022</v>
      </c>
      <c r="B927" s="10" t="s">
        <v>748</v>
      </c>
      <c r="C927" s="511" t="s">
        <v>749</v>
      </c>
      <c r="D927" s="512">
        <v>218000</v>
      </c>
      <c r="E927" s="512">
        <v>0</v>
      </c>
      <c r="F927" s="512"/>
      <c r="G927" s="512">
        <v>120000</v>
      </c>
      <c r="H927" s="512">
        <v>12</v>
      </c>
      <c r="I927" s="512"/>
      <c r="J927" s="512" t="s">
        <v>780</v>
      </c>
      <c r="K927" s="512" t="b">
        <v>1</v>
      </c>
      <c r="L927" s="512">
        <v>4</v>
      </c>
      <c r="M927" s="513">
        <v>2026</v>
      </c>
      <c r="N927" s="514">
        <v>0</v>
      </c>
      <c r="O927" s="515">
        <v>44620</v>
      </c>
      <c r="P927" s="515">
        <v>44620</v>
      </c>
      <c r="Q927" s="516">
        <v>0</v>
      </c>
    </row>
    <row r="928" spans="1:17" ht="16.5">
      <c r="A928" s="9">
        <v>2022</v>
      </c>
      <c r="B928" s="10" t="s">
        <v>748</v>
      </c>
      <c r="C928" s="511" t="s">
        <v>749</v>
      </c>
      <c r="D928" s="512">
        <v>218000</v>
      </c>
      <c r="E928" s="512">
        <v>0</v>
      </c>
      <c r="F928" s="512"/>
      <c r="G928" s="512">
        <v>120000</v>
      </c>
      <c r="H928" s="512">
        <v>12</v>
      </c>
      <c r="I928" s="512"/>
      <c r="J928" s="512" t="s">
        <v>780</v>
      </c>
      <c r="K928" s="512" t="b">
        <v>1</v>
      </c>
      <c r="L928" s="512">
        <v>3</v>
      </c>
      <c r="M928" s="513">
        <v>2025</v>
      </c>
      <c r="N928" s="514">
        <v>0</v>
      </c>
      <c r="O928" s="515">
        <v>44620</v>
      </c>
      <c r="P928" s="515">
        <v>44620</v>
      </c>
      <c r="Q928" s="516">
        <v>0</v>
      </c>
    </row>
    <row r="929" spans="1:17" ht="16.5">
      <c r="A929" s="9">
        <v>2022</v>
      </c>
      <c r="B929" s="10" t="s">
        <v>748</v>
      </c>
      <c r="C929" s="511" t="s">
        <v>749</v>
      </c>
      <c r="D929" s="512">
        <v>218000</v>
      </c>
      <c r="E929" s="512">
        <v>0</v>
      </c>
      <c r="F929" s="512"/>
      <c r="G929" s="512">
        <v>120000</v>
      </c>
      <c r="H929" s="512">
        <v>12</v>
      </c>
      <c r="I929" s="512"/>
      <c r="J929" s="512" t="s">
        <v>780</v>
      </c>
      <c r="K929" s="512" t="b">
        <v>1</v>
      </c>
      <c r="L929" s="512">
        <v>2</v>
      </c>
      <c r="M929" s="513">
        <v>2024</v>
      </c>
      <c r="N929" s="514">
        <v>0</v>
      </c>
      <c r="O929" s="515">
        <v>44620</v>
      </c>
      <c r="P929" s="515">
        <v>44620</v>
      </c>
      <c r="Q929" s="516">
        <v>0</v>
      </c>
    </row>
    <row r="930" spans="1:17" ht="16.5">
      <c r="A930" s="9">
        <v>2022</v>
      </c>
      <c r="B930" s="10" t="s">
        <v>748</v>
      </c>
      <c r="C930" s="511" t="s">
        <v>749</v>
      </c>
      <c r="D930" s="512">
        <v>218000</v>
      </c>
      <c r="E930" s="512">
        <v>0</v>
      </c>
      <c r="F930" s="512"/>
      <c r="G930" s="512">
        <v>120000</v>
      </c>
      <c r="H930" s="512">
        <v>12</v>
      </c>
      <c r="I930" s="512"/>
      <c r="J930" s="512" t="s">
        <v>780</v>
      </c>
      <c r="K930" s="512" t="b">
        <v>1</v>
      </c>
      <c r="L930" s="512">
        <v>0</v>
      </c>
      <c r="M930" s="513">
        <v>2022</v>
      </c>
      <c r="N930" s="514">
        <v>0</v>
      </c>
      <c r="O930" s="515">
        <v>44620</v>
      </c>
      <c r="P930" s="515">
        <v>44620</v>
      </c>
      <c r="Q930" s="516">
        <v>0</v>
      </c>
    </row>
    <row r="931" spans="1:17" ht="16.5">
      <c r="A931" s="9">
        <v>2022</v>
      </c>
      <c r="B931" s="10" t="s">
        <v>748</v>
      </c>
      <c r="C931" s="511" t="s">
        <v>749</v>
      </c>
      <c r="D931" s="512">
        <v>218000</v>
      </c>
      <c r="E931" s="512">
        <v>0</v>
      </c>
      <c r="F931" s="512"/>
      <c r="G931" s="512">
        <v>44100</v>
      </c>
      <c r="H931" s="512" t="s">
        <v>46</v>
      </c>
      <c r="I931" s="512"/>
      <c r="J931" s="512" t="s">
        <v>206</v>
      </c>
      <c r="K931" s="512" t="b">
        <v>1</v>
      </c>
      <c r="L931" s="512">
        <v>7</v>
      </c>
      <c r="M931" s="513">
        <v>2029</v>
      </c>
      <c r="N931" s="514">
        <v>0</v>
      </c>
      <c r="O931" s="515">
        <v>44620</v>
      </c>
      <c r="P931" s="515">
        <v>44620</v>
      </c>
      <c r="Q931" s="516">
        <v>0</v>
      </c>
    </row>
    <row r="932" spans="1:17" ht="16.5">
      <c r="A932" s="9">
        <v>2022</v>
      </c>
      <c r="B932" s="10" t="s">
        <v>748</v>
      </c>
      <c r="C932" s="511" t="s">
        <v>749</v>
      </c>
      <c r="D932" s="512">
        <v>218000</v>
      </c>
      <c r="E932" s="512">
        <v>0</v>
      </c>
      <c r="F932" s="512"/>
      <c r="G932" s="512">
        <v>44100</v>
      </c>
      <c r="H932" s="512" t="s">
        <v>46</v>
      </c>
      <c r="I932" s="512"/>
      <c r="J932" s="512" t="s">
        <v>206</v>
      </c>
      <c r="K932" s="512" t="b">
        <v>1</v>
      </c>
      <c r="L932" s="512">
        <v>4</v>
      </c>
      <c r="M932" s="513">
        <v>2026</v>
      </c>
      <c r="N932" s="514">
        <v>0</v>
      </c>
      <c r="O932" s="515">
        <v>44620</v>
      </c>
      <c r="P932" s="515">
        <v>44620</v>
      </c>
      <c r="Q932" s="516">
        <v>0</v>
      </c>
    </row>
    <row r="933" spans="1:17" ht="16.5">
      <c r="A933" s="9">
        <v>2022</v>
      </c>
      <c r="B933" s="10" t="s">
        <v>748</v>
      </c>
      <c r="C933" s="511" t="s">
        <v>749</v>
      </c>
      <c r="D933" s="512">
        <v>218000</v>
      </c>
      <c r="E933" s="512">
        <v>0</v>
      </c>
      <c r="F933" s="512"/>
      <c r="G933" s="512">
        <v>44100</v>
      </c>
      <c r="H933" s="512" t="s">
        <v>46</v>
      </c>
      <c r="I933" s="512"/>
      <c r="J933" s="512" t="s">
        <v>206</v>
      </c>
      <c r="K933" s="512" t="b">
        <v>1</v>
      </c>
      <c r="L933" s="512">
        <v>8</v>
      </c>
      <c r="M933" s="513">
        <v>2030</v>
      </c>
      <c r="N933" s="514">
        <v>0</v>
      </c>
      <c r="O933" s="515">
        <v>44620</v>
      </c>
      <c r="P933" s="515">
        <v>44620</v>
      </c>
      <c r="Q933" s="516">
        <v>0</v>
      </c>
    </row>
    <row r="934" spans="1:17" ht="16.5">
      <c r="A934" s="9">
        <v>2022</v>
      </c>
      <c r="B934" s="10" t="s">
        <v>748</v>
      </c>
      <c r="C934" s="511" t="s">
        <v>749</v>
      </c>
      <c r="D934" s="512">
        <v>218000</v>
      </c>
      <c r="E934" s="512">
        <v>0</v>
      </c>
      <c r="F934" s="512"/>
      <c r="G934" s="512">
        <v>44100</v>
      </c>
      <c r="H934" s="512" t="s">
        <v>46</v>
      </c>
      <c r="I934" s="512"/>
      <c r="J934" s="512" t="s">
        <v>206</v>
      </c>
      <c r="K934" s="512" t="b">
        <v>1</v>
      </c>
      <c r="L934" s="512">
        <v>6</v>
      </c>
      <c r="M934" s="513">
        <v>2028</v>
      </c>
      <c r="N934" s="514">
        <v>0</v>
      </c>
      <c r="O934" s="515">
        <v>44620</v>
      </c>
      <c r="P934" s="515">
        <v>44620</v>
      </c>
      <c r="Q934" s="516">
        <v>0</v>
      </c>
    </row>
    <row r="935" spans="1:17" ht="16.5">
      <c r="A935" s="9">
        <v>2022</v>
      </c>
      <c r="B935" s="10" t="s">
        <v>748</v>
      </c>
      <c r="C935" s="511" t="s">
        <v>749</v>
      </c>
      <c r="D935" s="512">
        <v>218000</v>
      </c>
      <c r="E935" s="512">
        <v>0</v>
      </c>
      <c r="F935" s="512"/>
      <c r="G935" s="512">
        <v>44100</v>
      </c>
      <c r="H935" s="512" t="s">
        <v>46</v>
      </c>
      <c r="I935" s="512"/>
      <c r="J935" s="512" t="s">
        <v>206</v>
      </c>
      <c r="K935" s="512" t="b">
        <v>1</v>
      </c>
      <c r="L935" s="512">
        <v>1</v>
      </c>
      <c r="M935" s="513">
        <v>2023</v>
      </c>
      <c r="N935" s="514">
        <v>0</v>
      </c>
      <c r="O935" s="515">
        <v>44620</v>
      </c>
      <c r="P935" s="515">
        <v>44620</v>
      </c>
      <c r="Q935" s="516">
        <v>0</v>
      </c>
    </row>
    <row r="936" spans="1:17" ht="16.5">
      <c r="A936" s="9">
        <v>2022</v>
      </c>
      <c r="B936" s="10" t="s">
        <v>748</v>
      </c>
      <c r="C936" s="511" t="s">
        <v>749</v>
      </c>
      <c r="D936" s="512">
        <v>218000</v>
      </c>
      <c r="E936" s="512">
        <v>0</v>
      </c>
      <c r="F936" s="512"/>
      <c r="G936" s="512">
        <v>44100</v>
      </c>
      <c r="H936" s="512" t="s">
        <v>46</v>
      </c>
      <c r="I936" s="512"/>
      <c r="J936" s="512" t="s">
        <v>206</v>
      </c>
      <c r="K936" s="512" t="b">
        <v>1</v>
      </c>
      <c r="L936" s="512">
        <v>5</v>
      </c>
      <c r="M936" s="513">
        <v>2027</v>
      </c>
      <c r="N936" s="514">
        <v>0</v>
      </c>
      <c r="O936" s="515">
        <v>44620</v>
      </c>
      <c r="P936" s="515">
        <v>44620</v>
      </c>
      <c r="Q936" s="516">
        <v>0</v>
      </c>
    </row>
    <row r="937" spans="1:17" ht="16.5">
      <c r="A937" s="9">
        <v>2022</v>
      </c>
      <c r="B937" s="10" t="s">
        <v>748</v>
      </c>
      <c r="C937" s="511" t="s">
        <v>749</v>
      </c>
      <c r="D937" s="512">
        <v>218000</v>
      </c>
      <c r="E937" s="512">
        <v>0</v>
      </c>
      <c r="F937" s="512"/>
      <c r="G937" s="512">
        <v>44100</v>
      </c>
      <c r="H937" s="512" t="s">
        <v>46</v>
      </c>
      <c r="I937" s="512"/>
      <c r="J937" s="512" t="s">
        <v>206</v>
      </c>
      <c r="K937" s="512" t="b">
        <v>1</v>
      </c>
      <c r="L937" s="512">
        <v>2</v>
      </c>
      <c r="M937" s="513">
        <v>2024</v>
      </c>
      <c r="N937" s="514">
        <v>0</v>
      </c>
      <c r="O937" s="515">
        <v>44620</v>
      </c>
      <c r="P937" s="515">
        <v>44620</v>
      </c>
      <c r="Q937" s="516">
        <v>0</v>
      </c>
    </row>
    <row r="938" spans="1:17" ht="16.5">
      <c r="A938" s="9">
        <v>2022</v>
      </c>
      <c r="B938" s="10" t="s">
        <v>748</v>
      </c>
      <c r="C938" s="511" t="s">
        <v>749</v>
      </c>
      <c r="D938" s="512">
        <v>218000</v>
      </c>
      <c r="E938" s="512">
        <v>0</v>
      </c>
      <c r="F938" s="512"/>
      <c r="G938" s="512">
        <v>44100</v>
      </c>
      <c r="H938" s="512" t="s">
        <v>46</v>
      </c>
      <c r="I938" s="512"/>
      <c r="J938" s="512" t="s">
        <v>206</v>
      </c>
      <c r="K938" s="512" t="b">
        <v>1</v>
      </c>
      <c r="L938" s="512">
        <v>9</v>
      </c>
      <c r="M938" s="513">
        <v>2031</v>
      </c>
      <c r="N938" s="514">
        <v>0</v>
      </c>
      <c r="O938" s="515">
        <v>44620</v>
      </c>
      <c r="P938" s="515">
        <v>44620</v>
      </c>
      <c r="Q938" s="516">
        <v>0</v>
      </c>
    </row>
    <row r="939" spans="1:17" ht="16.5">
      <c r="A939" s="9">
        <v>2022</v>
      </c>
      <c r="B939" s="10" t="s">
        <v>748</v>
      </c>
      <c r="C939" s="511" t="s">
        <v>749</v>
      </c>
      <c r="D939" s="512">
        <v>218000</v>
      </c>
      <c r="E939" s="512">
        <v>0</v>
      </c>
      <c r="F939" s="512"/>
      <c r="G939" s="512">
        <v>44100</v>
      </c>
      <c r="H939" s="512" t="s">
        <v>46</v>
      </c>
      <c r="I939" s="512"/>
      <c r="J939" s="512" t="s">
        <v>206</v>
      </c>
      <c r="K939" s="512" t="b">
        <v>1</v>
      </c>
      <c r="L939" s="512">
        <v>10</v>
      </c>
      <c r="M939" s="513">
        <v>2032</v>
      </c>
      <c r="N939" s="514">
        <v>0</v>
      </c>
      <c r="O939" s="515">
        <v>44620</v>
      </c>
      <c r="P939" s="515">
        <v>44620</v>
      </c>
      <c r="Q939" s="516">
        <v>0</v>
      </c>
    </row>
    <row r="940" spans="1:17" ht="16.5">
      <c r="A940" s="9">
        <v>2022</v>
      </c>
      <c r="B940" s="10" t="s">
        <v>748</v>
      </c>
      <c r="C940" s="511" t="s">
        <v>749</v>
      </c>
      <c r="D940" s="512">
        <v>218000</v>
      </c>
      <c r="E940" s="512">
        <v>0</v>
      </c>
      <c r="F940" s="512"/>
      <c r="G940" s="512">
        <v>44100</v>
      </c>
      <c r="H940" s="512" t="s">
        <v>46</v>
      </c>
      <c r="I940" s="512"/>
      <c r="J940" s="512" t="s">
        <v>206</v>
      </c>
      <c r="K940" s="512" t="b">
        <v>1</v>
      </c>
      <c r="L940" s="512">
        <v>0</v>
      </c>
      <c r="M940" s="513">
        <v>2022</v>
      </c>
      <c r="N940" s="514">
        <v>32000</v>
      </c>
      <c r="O940" s="515">
        <v>44620</v>
      </c>
      <c r="P940" s="515">
        <v>44620</v>
      </c>
      <c r="Q940" s="516">
        <v>0</v>
      </c>
    </row>
    <row r="941" spans="1:17" ht="16.5">
      <c r="A941" s="9">
        <v>2022</v>
      </c>
      <c r="B941" s="10" t="s">
        <v>748</v>
      </c>
      <c r="C941" s="511" t="s">
        <v>749</v>
      </c>
      <c r="D941" s="512">
        <v>218000</v>
      </c>
      <c r="E941" s="512">
        <v>0</v>
      </c>
      <c r="F941" s="512"/>
      <c r="G941" s="512">
        <v>44100</v>
      </c>
      <c r="H941" s="512" t="s">
        <v>46</v>
      </c>
      <c r="I941" s="512"/>
      <c r="J941" s="512" t="s">
        <v>206</v>
      </c>
      <c r="K941" s="512" t="b">
        <v>1</v>
      </c>
      <c r="L941" s="512">
        <v>11</v>
      </c>
      <c r="M941" s="513">
        <v>2033</v>
      </c>
      <c r="N941" s="514">
        <v>0</v>
      </c>
      <c r="O941" s="515">
        <v>44620</v>
      </c>
      <c r="P941" s="515">
        <v>44620</v>
      </c>
      <c r="Q941" s="516">
        <v>0</v>
      </c>
    </row>
    <row r="942" spans="1:17" ht="16.5">
      <c r="A942" s="9">
        <v>2022</v>
      </c>
      <c r="B942" s="10" t="s">
        <v>748</v>
      </c>
      <c r="C942" s="511" t="s">
        <v>749</v>
      </c>
      <c r="D942" s="512">
        <v>218000</v>
      </c>
      <c r="E942" s="512">
        <v>0</v>
      </c>
      <c r="F942" s="512"/>
      <c r="G942" s="512">
        <v>44100</v>
      </c>
      <c r="H942" s="512" t="s">
        <v>46</v>
      </c>
      <c r="I942" s="512"/>
      <c r="J942" s="512" t="s">
        <v>206</v>
      </c>
      <c r="K942" s="512" t="b">
        <v>1</v>
      </c>
      <c r="L942" s="512">
        <v>3</v>
      </c>
      <c r="M942" s="513">
        <v>2025</v>
      </c>
      <c r="N942" s="514">
        <v>0</v>
      </c>
      <c r="O942" s="515">
        <v>44620</v>
      </c>
      <c r="P942" s="515">
        <v>44620</v>
      </c>
      <c r="Q942" s="516">
        <v>0</v>
      </c>
    </row>
    <row r="943" spans="1:17" ht="16.5">
      <c r="A943" s="9">
        <v>2022</v>
      </c>
      <c r="B943" s="10" t="s">
        <v>748</v>
      </c>
      <c r="C943" s="511" t="s">
        <v>749</v>
      </c>
      <c r="D943" s="512">
        <v>218000</v>
      </c>
      <c r="E943" s="512">
        <v>0</v>
      </c>
      <c r="F943" s="512"/>
      <c r="G943" s="512">
        <v>112000</v>
      </c>
      <c r="H943" s="512">
        <v>11.2</v>
      </c>
      <c r="I943" s="512"/>
      <c r="J943" s="512" t="s">
        <v>781</v>
      </c>
      <c r="K943" s="512" t="b">
        <v>1</v>
      </c>
      <c r="L943" s="512">
        <v>7</v>
      </c>
      <c r="M943" s="513">
        <v>2029</v>
      </c>
      <c r="N943" s="514">
        <v>0</v>
      </c>
      <c r="O943" s="515">
        <v>44620</v>
      </c>
      <c r="P943" s="515">
        <v>44620</v>
      </c>
      <c r="Q943" s="516">
        <v>0</v>
      </c>
    </row>
    <row r="944" spans="1:17" ht="16.5">
      <c r="A944" s="9">
        <v>2022</v>
      </c>
      <c r="B944" s="10" t="s">
        <v>748</v>
      </c>
      <c r="C944" s="511" t="s">
        <v>749</v>
      </c>
      <c r="D944" s="512">
        <v>218000</v>
      </c>
      <c r="E944" s="512">
        <v>0</v>
      </c>
      <c r="F944" s="512"/>
      <c r="G944" s="512">
        <v>112000</v>
      </c>
      <c r="H944" s="512">
        <v>11.2</v>
      </c>
      <c r="I944" s="512"/>
      <c r="J944" s="512" t="s">
        <v>781</v>
      </c>
      <c r="K944" s="512" t="b">
        <v>1</v>
      </c>
      <c r="L944" s="512">
        <v>4</v>
      </c>
      <c r="M944" s="513">
        <v>2026</v>
      </c>
      <c r="N944" s="514">
        <v>0</v>
      </c>
      <c r="O944" s="515">
        <v>44620</v>
      </c>
      <c r="P944" s="515">
        <v>44620</v>
      </c>
      <c r="Q944" s="516">
        <v>0</v>
      </c>
    </row>
    <row r="945" spans="1:17" ht="16.5">
      <c r="A945" s="9">
        <v>2022</v>
      </c>
      <c r="B945" s="10" t="s">
        <v>748</v>
      </c>
      <c r="C945" s="511" t="s">
        <v>749</v>
      </c>
      <c r="D945" s="512">
        <v>218000</v>
      </c>
      <c r="E945" s="512">
        <v>0</v>
      </c>
      <c r="F945" s="512"/>
      <c r="G945" s="512">
        <v>112000</v>
      </c>
      <c r="H945" s="512">
        <v>11.2</v>
      </c>
      <c r="I945" s="512"/>
      <c r="J945" s="512" t="s">
        <v>781</v>
      </c>
      <c r="K945" s="512" t="b">
        <v>1</v>
      </c>
      <c r="L945" s="512">
        <v>2</v>
      </c>
      <c r="M945" s="513">
        <v>2024</v>
      </c>
      <c r="N945" s="514">
        <v>0</v>
      </c>
      <c r="O945" s="515">
        <v>44620</v>
      </c>
      <c r="P945" s="515">
        <v>44620</v>
      </c>
      <c r="Q945" s="516">
        <v>0</v>
      </c>
    </row>
    <row r="946" spans="1:17" ht="16.5">
      <c r="A946" s="9">
        <v>2022</v>
      </c>
      <c r="B946" s="10" t="s">
        <v>748</v>
      </c>
      <c r="C946" s="511" t="s">
        <v>749</v>
      </c>
      <c r="D946" s="512">
        <v>218000</v>
      </c>
      <c r="E946" s="512">
        <v>0</v>
      </c>
      <c r="F946" s="512"/>
      <c r="G946" s="512">
        <v>112000</v>
      </c>
      <c r="H946" s="512">
        <v>11.2</v>
      </c>
      <c r="I946" s="512"/>
      <c r="J946" s="512" t="s">
        <v>781</v>
      </c>
      <c r="K946" s="512" t="b">
        <v>1</v>
      </c>
      <c r="L946" s="512">
        <v>5</v>
      </c>
      <c r="M946" s="513">
        <v>2027</v>
      </c>
      <c r="N946" s="514">
        <v>0</v>
      </c>
      <c r="O946" s="515">
        <v>44620</v>
      </c>
      <c r="P946" s="515">
        <v>44620</v>
      </c>
      <c r="Q946" s="516">
        <v>0</v>
      </c>
    </row>
    <row r="947" spans="1:17" ht="16.5">
      <c r="A947" s="9">
        <v>2022</v>
      </c>
      <c r="B947" s="10" t="s">
        <v>748</v>
      </c>
      <c r="C947" s="511" t="s">
        <v>749</v>
      </c>
      <c r="D947" s="512">
        <v>218000</v>
      </c>
      <c r="E947" s="512">
        <v>0</v>
      </c>
      <c r="F947" s="512"/>
      <c r="G947" s="512">
        <v>112000</v>
      </c>
      <c r="H947" s="512">
        <v>11.2</v>
      </c>
      <c r="I947" s="512"/>
      <c r="J947" s="512" t="s">
        <v>781</v>
      </c>
      <c r="K947" s="512" t="b">
        <v>1</v>
      </c>
      <c r="L947" s="512">
        <v>10</v>
      </c>
      <c r="M947" s="513">
        <v>2032</v>
      </c>
      <c r="N947" s="514">
        <v>0</v>
      </c>
      <c r="O947" s="515">
        <v>44620</v>
      </c>
      <c r="P947" s="515">
        <v>44620</v>
      </c>
      <c r="Q947" s="516">
        <v>0</v>
      </c>
    </row>
    <row r="948" spans="1:17" ht="16.5">
      <c r="A948" s="9">
        <v>2022</v>
      </c>
      <c r="B948" s="10" t="s">
        <v>748</v>
      </c>
      <c r="C948" s="511" t="s">
        <v>749</v>
      </c>
      <c r="D948" s="512">
        <v>218000</v>
      </c>
      <c r="E948" s="512">
        <v>0</v>
      </c>
      <c r="F948" s="512"/>
      <c r="G948" s="512">
        <v>112000</v>
      </c>
      <c r="H948" s="512">
        <v>11.2</v>
      </c>
      <c r="I948" s="512"/>
      <c r="J948" s="512" t="s">
        <v>781</v>
      </c>
      <c r="K948" s="512" t="b">
        <v>1</v>
      </c>
      <c r="L948" s="512">
        <v>11</v>
      </c>
      <c r="M948" s="513">
        <v>2033</v>
      </c>
      <c r="N948" s="514">
        <v>0</v>
      </c>
      <c r="O948" s="515">
        <v>44620</v>
      </c>
      <c r="P948" s="515">
        <v>44620</v>
      </c>
      <c r="Q948" s="516">
        <v>0</v>
      </c>
    </row>
    <row r="949" spans="1:17" ht="16.5">
      <c r="A949" s="9">
        <v>2022</v>
      </c>
      <c r="B949" s="10" t="s">
        <v>748</v>
      </c>
      <c r="C949" s="511" t="s">
        <v>749</v>
      </c>
      <c r="D949" s="512">
        <v>218000</v>
      </c>
      <c r="E949" s="512">
        <v>0</v>
      </c>
      <c r="F949" s="512"/>
      <c r="G949" s="512">
        <v>112000</v>
      </c>
      <c r="H949" s="512">
        <v>11.2</v>
      </c>
      <c r="I949" s="512"/>
      <c r="J949" s="512" t="s">
        <v>781</v>
      </c>
      <c r="K949" s="512" t="b">
        <v>1</v>
      </c>
      <c r="L949" s="512">
        <v>9</v>
      </c>
      <c r="M949" s="513">
        <v>2031</v>
      </c>
      <c r="N949" s="514">
        <v>0</v>
      </c>
      <c r="O949" s="515">
        <v>44620</v>
      </c>
      <c r="P949" s="515">
        <v>44620</v>
      </c>
      <c r="Q949" s="516">
        <v>0</v>
      </c>
    </row>
    <row r="950" spans="1:17" ht="16.5">
      <c r="A950" s="9">
        <v>2022</v>
      </c>
      <c r="B950" s="10" t="s">
        <v>748</v>
      </c>
      <c r="C950" s="511" t="s">
        <v>749</v>
      </c>
      <c r="D950" s="512">
        <v>218000</v>
      </c>
      <c r="E950" s="512">
        <v>0</v>
      </c>
      <c r="F950" s="512"/>
      <c r="G950" s="512">
        <v>112000</v>
      </c>
      <c r="H950" s="512">
        <v>11.2</v>
      </c>
      <c r="I950" s="512"/>
      <c r="J950" s="512" t="s">
        <v>781</v>
      </c>
      <c r="K950" s="512" t="b">
        <v>1</v>
      </c>
      <c r="L950" s="512">
        <v>1</v>
      </c>
      <c r="M950" s="513">
        <v>2023</v>
      </c>
      <c r="N950" s="514">
        <v>0</v>
      </c>
      <c r="O950" s="515">
        <v>44620</v>
      </c>
      <c r="P950" s="515">
        <v>44620</v>
      </c>
      <c r="Q950" s="516">
        <v>0</v>
      </c>
    </row>
    <row r="951" spans="1:17" ht="16.5">
      <c r="A951" s="9">
        <v>2022</v>
      </c>
      <c r="B951" s="10" t="s">
        <v>748</v>
      </c>
      <c r="C951" s="511" t="s">
        <v>749</v>
      </c>
      <c r="D951" s="512">
        <v>218000</v>
      </c>
      <c r="E951" s="512">
        <v>0</v>
      </c>
      <c r="F951" s="512"/>
      <c r="G951" s="512">
        <v>112000</v>
      </c>
      <c r="H951" s="512">
        <v>11.2</v>
      </c>
      <c r="I951" s="512"/>
      <c r="J951" s="512" t="s">
        <v>781</v>
      </c>
      <c r="K951" s="512" t="b">
        <v>1</v>
      </c>
      <c r="L951" s="512">
        <v>8</v>
      </c>
      <c r="M951" s="513">
        <v>2030</v>
      </c>
      <c r="N951" s="514">
        <v>0</v>
      </c>
      <c r="O951" s="515">
        <v>44620</v>
      </c>
      <c r="P951" s="515">
        <v>44620</v>
      </c>
      <c r="Q951" s="516">
        <v>0</v>
      </c>
    </row>
    <row r="952" spans="1:17" ht="16.5">
      <c r="A952" s="9">
        <v>2022</v>
      </c>
      <c r="B952" s="10" t="s">
        <v>748</v>
      </c>
      <c r="C952" s="511" t="s">
        <v>749</v>
      </c>
      <c r="D952" s="512">
        <v>218000</v>
      </c>
      <c r="E952" s="512">
        <v>0</v>
      </c>
      <c r="F952" s="512"/>
      <c r="G952" s="512">
        <v>112000</v>
      </c>
      <c r="H952" s="512">
        <v>11.2</v>
      </c>
      <c r="I952" s="512"/>
      <c r="J952" s="512" t="s">
        <v>781</v>
      </c>
      <c r="K952" s="512" t="b">
        <v>1</v>
      </c>
      <c r="L952" s="512">
        <v>0</v>
      </c>
      <c r="M952" s="513">
        <v>2022</v>
      </c>
      <c r="N952" s="514">
        <v>0</v>
      </c>
      <c r="O952" s="515">
        <v>44620</v>
      </c>
      <c r="P952" s="515">
        <v>44620</v>
      </c>
      <c r="Q952" s="516">
        <v>0</v>
      </c>
    </row>
    <row r="953" spans="1:17" ht="16.5">
      <c r="A953" s="9">
        <v>2022</v>
      </c>
      <c r="B953" s="10" t="s">
        <v>748</v>
      </c>
      <c r="C953" s="511" t="s">
        <v>749</v>
      </c>
      <c r="D953" s="512">
        <v>218000</v>
      </c>
      <c r="E953" s="512">
        <v>0</v>
      </c>
      <c r="F953" s="512"/>
      <c r="G953" s="512">
        <v>112000</v>
      </c>
      <c r="H953" s="512">
        <v>11.2</v>
      </c>
      <c r="I953" s="512"/>
      <c r="J953" s="512" t="s">
        <v>781</v>
      </c>
      <c r="K953" s="512" t="b">
        <v>1</v>
      </c>
      <c r="L953" s="512">
        <v>6</v>
      </c>
      <c r="M953" s="513">
        <v>2028</v>
      </c>
      <c r="N953" s="514">
        <v>0</v>
      </c>
      <c r="O953" s="515">
        <v>44620</v>
      </c>
      <c r="P953" s="515">
        <v>44620</v>
      </c>
      <c r="Q953" s="516">
        <v>0</v>
      </c>
    </row>
    <row r="954" spans="1:17" ht="16.5">
      <c r="A954" s="9">
        <v>2022</v>
      </c>
      <c r="B954" s="10" t="s">
        <v>748</v>
      </c>
      <c r="C954" s="511" t="s">
        <v>749</v>
      </c>
      <c r="D954" s="512">
        <v>218000</v>
      </c>
      <c r="E954" s="512">
        <v>0</v>
      </c>
      <c r="F954" s="512"/>
      <c r="G954" s="512">
        <v>112000</v>
      </c>
      <c r="H954" s="512">
        <v>11.2</v>
      </c>
      <c r="I954" s="512"/>
      <c r="J954" s="512" t="s">
        <v>781</v>
      </c>
      <c r="K954" s="512" t="b">
        <v>1</v>
      </c>
      <c r="L954" s="512">
        <v>3</v>
      </c>
      <c r="M954" s="513">
        <v>2025</v>
      </c>
      <c r="N954" s="514">
        <v>0</v>
      </c>
      <c r="O954" s="515">
        <v>44620</v>
      </c>
      <c r="P954" s="515">
        <v>44620</v>
      </c>
      <c r="Q954" s="516">
        <v>0</v>
      </c>
    </row>
    <row r="955" spans="1:17" ht="16.5">
      <c r="A955" s="9">
        <v>2022</v>
      </c>
      <c r="B955" s="10" t="s">
        <v>748</v>
      </c>
      <c r="C955" s="511" t="s">
        <v>749</v>
      </c>
      <c r="D955" s="512">
        <v>218000</v>
      </c>
      <c r="E955" s="512">
        <v>0</v>
      </c>
      <c r="F955" s="512"/>
      <c r="G955" s="512">
        <v>82000</v>
      </c>
      <c r="H955" s="512">
        <v>8.1999999999999993</v>
      </c>
      <c r="I955" s="512"/>
      <c r="J955" s="512" t="s">
        <v>782</v>
      </c>
      <c r="K955" s="512" t="b">
        <v>0</v>
      </c>
      <c r="L955" s="512">
        <v>5</v>
      </c>
      <c r="M955" s="513">
        <v>2027</v>
      </c>
      <c r="N955" s="514">
        <v>0.11169999999999999</v>
      </c>
      <c r="O955" s="515">
        <v>44620</v>
      </c>
      <c r="P955" s="515">
        <v>44620</v>
      </c>
      <c r="Q955" s="516">
        <v>0</v>
      </c>
    </row>
    <row r="956" spans="1:17" ht="16.5">
      <c r="A956" s="9">
        <v>2022</v>
      </c>
      <c r="B956" s="10" t="s">
        <v>748</v>
      </c>
      <c r="C956" s="511" t="s">
        <v>749</v>
      </c>
      <c r="D956" s="512">
        <v>218000</v>
      </c>
      <c r="E956" s="512">
        <v>0</v>
      </c>
      <c r="F956" s="512"/>
      <c r="G956" s="512">
        <v>82000</v>
      </c>
      <c r="H956" s="512">
        <v>8.1999999999999993</v>
      </c>
      <c r="I956" s="512"/>
      <c r="J956" s="512" t="s">
        <v>782</v>
      </c>
      <c r="K956" s="512" t="b">
        <v>0</v>
      </c>
      <c r="L956" s="512">
        <v>3</v>
      </c>
      <c r="M956" s="513">
        <v>2025</v>
      </c>
      <c r="N956" s="514">
        <v>8.8300000000000003E-2</v>
      </c>
      <c r="O956" s="515">
        <v>44620</v>
      </c>
      <c r="P956" s="515">
        <v>44620</v>
      </c>
      <c r="Q956" s="516">
        <v>0</v>
      </c>
    </row>
    <row r="957" spans="1:17" ht="16.5">
      <c r="A957" s="9">
        <v>2022</v>
      </c>
      <c r="B957" s="10" t="s">
        <v>748</v>
      </c>
      <c r="C957" s="511" t="s">
        <v>749</v>
      </c>
      <c r="D957" s="512">
        <v>218000</v>
      </c>
      <c r="E957" s="512">
        <v>0</v>
      </c>
      <c r="F957" s="512"/>
      <c r="G957" s="512">
        <v>82000</v>
      </c>
      <c r="H957" s="512">
        <v>8.1999999999999993</v>
      </c>
      <c r="I957" s="512"/>
      <c r="J957" s="512" t="s">
        <v>782</v>
      </c>
      <c r="K957" s="512" t="b">
        <v>0</v>
      </c>
      <c r="L957" s="512">
        <v>11</v>
      </c>
      <c r="M957" s="513">
        <v>2033</v>
      </c>
      <c r="N957" s="514">
        <v>0.14069999999999999</v>
      </c>
      <c r="O957" s="515">
        <v>44620</v>
      </c>
      <c r="P957" s="515">
        <v>44620</v>
      </c>
      <c r="Q957" s="516">
        <v>0</v>
      </c>
    </row>
    <row r="958" spans="1:17" ht="16.5">
      <c r="A958" s="9">
        <v>2022</v>
      </c>
      <c r="B958" s="10" t="s">
        <v>748</v>
      </c>
      <c r="C958" s="511" t="s">
        <v>749</v>
      </c>
      <c r="D958" s="512">
        <v>218000</v>
      </c>
      <c r="E958" s="512">
        <v>0</v>
      </c>
      <c r="F958" s="512"/>
      <c r="G958" s="512">
        <v>82000</v>
      </c>
      <c r="H958" s="512">
        <v>8.1999999999999993</v>
      </c>
      <c r="I958" s="512"/>
      <c r="J958" s="512" t="s">
        <v>782</v>
      </c>
      <c r="K958" s="512" t="b">
        <v>0</v>
      </c>
      <c r="L958" s="512">
        <v>2</v>
      </c>
      <c r="M958" s="513">
        <v>2024</v>
      </c>
      <c r="N958" s="514">
        <v>7.5800000000000006E-2</v>
      </c>
      <c r="O958" s="515">
        <v>44620</v>
      </c>
      <c r="P958" s="515">
        <v>44620</v>
      </c>
      <c r="Q958" s="516">
        <v>0</v>
      </c>
    </row>
    <row r="959" spans="1:17" ht="16.5">
      <c r="A959" s="9">
        <v>2022</v>
      </c>
      <c r="B959" s="10" t="s">
        <v>748</v>
      </c>
      <c r="C959" s="511" t="s">
        <v>749</v>
      </c>
      <c r="D959" s="512">
        <v>218000</v>
      </c>
      <c r="E959" s="512">
        <v>0</v>
      </c>
      <c r="F959" s="512"/>
      <c r="G959" s="512">
        <v>82000</v>
      </c>
      <c r="H959" s="512">
        <v>8.1999999999999993</v>
      </c>
      <c r="I959" s="512"/>
      <c r="J959" s="512" t="s">
        <v>782</v>
      </c>
      <c r="K959" s="512" t="b">
        <v>0</v>
      </c>
      <c r="L959" s="512">
        <v>4</v>
      </c>
      <c r="M959" s="513">
        <v>2026</v>
      </c>
      <c r="N959" s="514">
        <v>0.1007</v>
      </c>
      <c r="O959" s="515">
        <v>44620</v>
      </c>
      <c r="P959" s="515">
        <v>44620</v>
      </c>
      <c r="Q959" s="516">
        <v>0</v>
      </c>
    </row>
    <row r="960" spans="1:17" ht="16.5">
      <c r="A960" s="9">
        <v>2022</v>
      </c>
      <c r="B960" s="10" t="s">
        <v>748</v>
      </c>
      <c r="C960" s="511" t="s">
        <v>749</v>
      </c>
      <c r="D960" s="512">
        <v>218000</v>
      </c>
      <c r="E960" s="512">
        <v>0</v>
      </c>
      <c r="F960" s="512"/>
      <c r="G960" s="512">
        <v>82000</v>
      </c>
      <c r="H960" s="512">
        <v>8.1999999999999993</v>
      </c>
      <c r="I960" s="512"/>
      <c r="J960" s="512" t="s">
        <v>782</v>
      </c>
      <c r="K960" s="512" t="b">
        <v>0</v>
      </c>
      <c r="L960" s="512">
        <v>1</v>
      </c>
      <c r="M960" s="513">
        <v>2023</v>
      </c>
      <c r="N960" s="514">
        <v>7.6899999999999996E-2</v>
      </c>
      <c r="O960" s="515">
        <v>44620</v>
      </c>
      <c r="P960" s="515">
        <v>44620</v>
      </c>
      <c r="Q960" s="516">
        <v>0</v>
      </c>
    </row>
    <row r="961" spans="1:17" ht="16.5">
      <c r="A961" s="9">
        <v>2022</v>
      </c>
      <c r="B961" s="10" t="s">
        <v>748</v>
      </c>
      <c r="C961" s="511" t="s">
        <v>749</v>
      </c>
      <c r="D961" s="512">
        <v>218000</v>
      </c>
      <c r="E961" s="512">
        <v>0</v>
      </c>
      <c r="F961" s="512"/>
      <c r="G961" s="512">
        <v>82000</v>
      </c>
      <c r="H961" s="512">
        <v>8.1999999999999993</v>
      </c>
      <c r="I961" s="512"/>
      <c r="J961" s="512" t="s">
        <v>782</v>
      </c>
      <c r="K961" s="512" t="b">
        <v>0</v>
      </c>
      <c r="L961" s="512">
        <v>0</v>
      </c>
      <c r="M961" s="513">
        <v>2022</v>
      </c>
      <c r="N961" s="514">
        <v>5.0299999999999997E-2</v>
      </c>
      <c r="O961" s="515">
        <v>44620</v>
      </c>
      <c r="P961" s="515">
        <v>44620</v>
      </c>
      <c r="Q961" s="516">
        <v>0</v>
      </c>
    </row>
    <row r="962" spans="1:17" ht="16.5">
      <c r="A962" s="9">
        <v>2022</v>
      </c>
      <c r="B962" s="10" t="s">
        <v>748</v>
      </c>
      <c r="C962" s="511" t="s">
        <v>749</v>
      </c>
      <c r="D962" s="512">
        <v>218000</v>
      </c>
      <c r="E962" s="512">
        <v>0</v>
      </c>
      <c r="F962" s="512"/>
      <c r="G962" s="512">
        <v>82000</v>
      </c>
      <c r="H962" s="512">
        <v>8.1999999999999993</v>
      </c>
      <c r="I962" s="512"/>
      <c r="J962" s="512" t="s">
        <v>782</v>
      </c>
      <c r="K962" s="512" t="b">
        <v>0</v>
      </c>
      <c r="L962" s="512">
        <v>7</v>
      </c>
      <c r="M962" s="513">
        <v>2029</v>
      </c>
      <c r="N962" s="514">
        <v>0.12870000000000001</v>
      </c>
      <c r="O962" s="515">
        <v>44620</v>
      </c>
      <c r="P962" s="515">
        <v>44620</v>
      </c>
      <c r="Q962" s="516">
        <v>0</v>
      </c>
    </row>
    <row r="963" spans="1:17" ht="16.5">
      <c r="A963" s="9">
        <v>2022</v>
      </c>
      <c r="B963" s="10" t="s">
        <v>748</v>
      </c>
      <c r="C963" s="511" t="s">
        <v>749</v>
      </c>
      <c r="D963" s="512">
        <v>218000</v>
      </c>
      <c r="E963" s="512">
        <v>0</v>
      </c>
      <c r="F963" s="512"/>
      <c r="G963" s="512">
        <v>82000</v>
      </c>
      <c r="H963" s="512">
        <v>8.1999999999999993</v>
      </c>
      <c r="I963" s="512"/>
      <c r="J963" s="512" t="s">
        <v>782</v>
      </c>
      <c r="K963" s="512" t="b">
        <v>0</v>
      </c>
      <c r="L963" s="512">
        <v>6</v>
      </c>
      <c r="M963" s="513">
        <v>2028</v>
      </c>
      <c r="N963" s="514">
        <v>0.1215</v>
      </c>
      <c r="O963" s="515">
        <v>44620</v>
      </c>
      <c r="P963" s="515">
        <v>44620</v>
      </c>
      <c r="Q963" s="516">
        <v>0</v>
      </c>
    </row>
    <row r="964" spans="1:17" ht="16.5">
      <c r="A964" s="9">
        <v>2022</v>
      </c>
      <c r="B964" s="10" t="s">
        <v>748</v>
      </c>
      <c r="C964" s="511" t="s">
        <v>749</v>
      </c>
      <c r="D964" s="512">
        <v>218000</v>
      </c>
      <c r="E964" s="512">
        <v>0</v>
      </c>
      <c r="F964" s="512"/>
      <c r="G964" s="512">
        <v>82000</v>
      </c>
      <c r="H964" s="512">
        <v>8.1999999999999993</v>
      </c>
      <c r="I964" s="512"/>
      <c r="J964" s="512" t="s">
        <v>782</v>
      </c>
      <c r="K964" s="512" t="b">
        <v>0</v>
      </c>
      <c r="L964" s="512">
        <v>9</v>
      </c>
      <c r="M964" s="513">
        <v>2031</v>
      </c>
      <c r="N964" s="514">
        <v>0.1371</v>
      </c>
      <c r="O964" s="515">
        <v>44620</v>
      </c>
      <c r="P964" s="515">
        <v>44620</v>
      </c>
      <c r="Q964" s="516">
        <v>0</v>
      </c>
    </row>
    <row r="965" spans="1:17" ht="16.5">
      <c r="A965" s="9">
        <v>2022</v>
      </c>
      <c r="B965" s="10" t="s">
        <v>748</v>
      </c>
      <c r="C965" s="511" t="s">
        <v>749</v>
      </c>
      <c r="D965" s="512">
        <v>218000</v>
      </c>
      <c r="E965" s="512">
        <v>0</v>
      </c>
      <c r="F965" s="512"/>
      <c r="G965" s="512">
        <v>82000</v>
      </c>
      <c r="H965" s="512">
        <v>8.1999999999999993</v>
      </c>
      <c r="I965" s="512"/>
      <c r="J965" s="512" t="s">
        <v>782</v>
      </c>
      <c r="K965" s="512" t="b">
        <v>0</v>
      </c>
      <c r="L965" s="512">
        <v>10</v>
      </c>
      <c r="M965" s="513">
        <v>2032</v>
      </c>
      <c r="N965" s="514">
        <v>0.13950000000000001</v>
      </c>
      <c r="O965" s="515">
        <v>44620</v>
      </c>
      <c r="P965" s="515">
        <v>44620</v>
      </c>
      <c r="Q965" s="516">
        <v>0</v>
      </c>
    </row>
    <row r="966" spans="1:17" ht="16.5">
      <c r="A966" s="9">
        <v>2022</v>
      </c>
      <c r="B966" s="10" t="s">
        <v>748</v>
      </c>
      <c r="C966" s="511" t="s">
        <v>749</v>
      </c>
      <c r="D966" s="512">
        <v>218000</v>
      </c>
      <c r="E966" s="512">
        <v>0</v>
      </c>
      <c r="F966" s="512"/>
      <c r="G966" s="512">
        <v>82000</v>
      </c>
      <c r="H966" s="512">
        <v>8.1999999999999993</v>
      </c>
      <c r="I966" s="512"/>
      <c r="J966" s="512" t="s">
        <v>782</v>
      </c>
      <c r="K966" s="512" t="b">
        <v>0</v>
      </c>
      <c r="L966" s="512">
        <v>8</v>
      </c>
      <c r="M966" s="513">
        <v>2030</v>
      </c>
      <c r="N966" s="514">
        <v>0.13350000000000001</v>
      </c>
      <c r="O966" s="515">
        <v>44620</v>
      </c>
      <c r="P966" s="515">
        <v>44620</v>
      </c>
      <c r="Q966" s="516">
        <v>0</v>
      </c>
    </row>
    <row r="967" spans="1:17" ht="16.5">
      <c r="A967" s="9">
        <v>2022</v>
      </c>
      <c r="B967" s="10" t="s">
        <v>748</v>
      </c>
      <c r="C967" s="511" t="s">
        <v>749</v>
      </c>
      <c r="D967" s="512">
        <v>218000</v>
      </c>
      <c r="E967" s="512">
        <v>0</v>
      </c>
      <c r="F967" s="512"/>
      <c r="G967" s="512">
        <v>103000</v>
      </c>
      <c r="H967" s="512">
        <v>10.3</v>
      </c>
      <c r="I967" s="512"/>
      <c r="J967" s="512" t="s">
        <v>249</v>
      </c>
      <c r="K967" s="512" t="b">
        <v>1</v>
      </c>
      <c r="L967" s="512">
        <v>0</v>
      </c>
      <c r="M967" s="513">
        <v>2022</v>
      </c>
      <c r="N967" s="514">
        <v>0</v>
      </c>
      <c r="O967" s="515">
        <v>44620</v>
      </c>
      <c r="P967" s="515">
        <v>44620</v>
      </c>
      <c r="Q967" s="516">
        <v>0</v>
      </c>
    </row>
    <row r="968" spans="1:17" ht="16.5">
      <c r="A968" s="9">
        <v>2022</v>
      </c>
      <c r="B968" s="10" t="s">
        <v>748</v>
      </c>
      <c r="C968" s="511" t="s">
        <v>749</v>
      </c>
      <c r="D968" s="512">
        <v>218000</v>
      </c>
      <c r="E968" s="512">
        <v>0</v>
      </c>
      <c r="F968" s="512"/>
      <c r="G968" s="512">
        <v>103000</v>
      </c>
      <c r="H968" s="512">
        <v>10.3</v>
      </c>
      <c r="I968" s="512"/>
      <c r="J968" s="512" t="s">
        <v>249</v>
      </c>
      <c r="K968" s="512" t="b">
        <v>1</v>
      </c>
      <c r="L968" s="512">
        <v>11</v>
      </c>
      <c r="M968" s="513">
        <v>2033</v>
      </c>
      <c r="N968" s="514">
        <v>0</v>
      </c>
      <c r="O968" s="515">
        <v>44620</v>
      </c>
      <c r="P968" s="515">
        <v>44620</v>
      </c>
      <c r="Q968" s="516">
        <v>0</v>
      </c>
    </row>
    <row r="969" spans="1:17" ht="16.5">
      <c r="A969" s="9">
        <v>2022</v>
      </c>
      <c r="B969" s="10" t="s">
        <v>748</v>
      </c>
      <c r="C969" s="511" t="s">
        <v>749</v>
      </c>
      <c r="D969" s="512">
        <v>218000</v>
      </c>
      <c r="E969" s="512">
        <v>0</v>
      </c>
      <c r="F969" s="512"/>
      <c r="G969" s="512">
        <v>103000</v>
      </c>
      <c r="H969" s="512">
        <v>10.3</v>
      </c>
      <c r="I969" s="512"/>
      <c r="J969" s="512" t="s">
        <v>249</v>
      </c>
      <c r="K969" s="512" t="b">
        <v>1</v>
      </c>
      <c r="L969" s="512">
        <v>5</v>
      </c>
      <c r="M969" s="513">
        <v>2027</v>
      </c>
      <c r="N969" s="514">
        <v>0</v>
      </c>
      <c r="O969" s="515">
        <v>44620</v>
      </c>
      <c r="P969" s="515">
        <v>44620</v>
      </c>
      <c r="Q969" s="516">
        <v>0</v>
      </c>
    </row>
    <row r="970" spans="1:17" ht="16.5">
      <c r="A970" s="9">
        <v>2022</v>
      </c>
      <c r="B970" s="10" t="s">
        <v>748</v>
      </c>
      <c r="C970" s="511" t="s">
        <v>749</v>
      </c>
      <c r="D970" s="512">
        <v>218000</v>
      </c>
      <c r="E970" s="512">
        <v>0</v>
      </c>
      <c r="F970" s="512"/>
      <c r="G970" s="512">
        <v>103000</v>
      </c>
      <c r="H970" s="512">
        <v>10.3</v>
      </c>
      <c r="I970" s="512"/>
      <c r="J970" s="512" t="s">
        <v>249</v>
      </c>
      <c r="K970" s="512" t="b">
        <v>1</v>
      </c>
      <c r="L970" s="512">
        <v>9</v>
      </c>
      <c r="M970" s="513">
        <v>2031</v>
      </c>
      <c r="N970" s="514">
        <v>0</v>
      </c>
      <c r="O970" s="515">
        <v>44620</v>
      </c>
      <c r="P970" s="515">
        <v>44620</v>
      </c>
      <c r="Q970" s="516">
        <v>0</v>
      </c>
    </row>
    <row r="971" spans="1:17" ht="16.5">
      <c r="A971" s="9">
        <v>2022</v>
      </c>
      <c r="B971" s="10" t="s">
        <v>748</v>
      </c>
      <c r="C971" s="511" t="s">
        <v>749</v>
      </c>
      <c r="D971" s="512">
        <v>218000</v>
      </c>
      <c r="E971" s="512">
        <v>0</v>
      </c>
      <c r="F971" s="512"/>
      <c r="G971" s="512">
        <v>103000</v>
      </c>
      <c r="H971" s="512">
        <v>10.3</v>
      </c>
      <c r="I971" s="512"/>
      <c r="J971" s="512" t="s">
        <v>249</v>
      </c>
      <c r="K971" s="512" t="b">
        <v>1</v>
      </c>
      <c r="L971" s="512">
        <v>4</v>
      </c>
      <c r="M971" s="513">
        <v>2026</v>
      </c>
      <c r="N971" s="514">
        <v>0</v>
      </c>
      <c r="O971" s="515">
        <v>44620</v>
      </c>
      <c r="P971" s="515">
        <v>44620</v>
      </c>
      <c r="Q971" s="516">
        <v>0</v>
      </c>
    </row>
    <row r="972" spans="1:17" ht="16.5">
      <c r="A972" s="9">
        <v>2022</v>
      </c>
      <c r="B972" s="10" t="s">
        <v>748</v>
      </c>
      <c r="C972" s="511" t="s">
        <v>749</v>
      </c>
      <c r="D972" s="512">
        <v>218000</v>
      </c>
      <c r="E972" s="512">
        <v>0</v>
      </c>
      <c r="F972" s="512"/>
      <c r="G972" s="512">
        <v>103000</v>
      </c>
      <c r="H972" s="512">
        <v>10.3</v>
      </c>
      <c r="I972" s="512"/>
      <c r="J972" s="512" t="s">
        <v>249</v>
      </c>
      <c r="K972" s="512" t="b">
        <v>1</v>
      </c>
      <c r="L972" s="512">
        <v>1</v>
      </c>
      <c r="M972" s="513">
        <v>2023</v>
      </c>
      <c r="N972" s="514">
        <v>0</v>
      </c>
      <c r="O972" s="515">
        <v>44620</v>
      </c>
      <c r="P972" s="515">
        <v>44620</v>
      </c>
      <c r="Q972" s="516">
        <v>0</v>
      </c>
    </row>
    <row r="973" spans="1:17" ht="16.5">
      <c r="A973" s="9">
        <v>2022</v>
      </c>
      <c r="B973" s="10" t="s">
        <v>748</v>
      </c>
      <c r="C973" s="511" t="s">
        <v>749</v>
      </c>
      <c r="D973" s="512">
        <v>218000</v>
      </c>
      <c r="E973" s="512">
        <v>0</v>
      </c>
      <c r="F973" s="512"/>
      <c r="G973" s="512">
        <v>103000</v>
      </c>
      <c r="H973" s="512">
        <v>10.3</v>
      </c>
      <c r="I973" s="512"/>
      <c r="J973" s="512" t="s">
        <v>249</v>
      </c>
      <c r="K973" s="512" t="b">
        <v>1</v>
      </c>
      <c r="L973" s="512">
        <v>6</v>
      </c>
      <c r="M973" s="513">
        <v>2028</v>
      </c>
      <c r="N973" s="514">
        <v>0</v>
      </c>
      <c r="O973" s="515">
        <v>44620</v>
      </c>
      <c r="P973" s="515">
        <v>44620</v>
      </c>
      <c r="Q973" s="516">
        <v>0</v>
      </c>
    </row>
    <row r="974" spans="1:17" ht="16.5">
      <c r="A974" s="9">
        <v>2022</v>
      </c>
      <c r="B974" s="10" t="s">
        <v>748</v>
      </c>
      <c r="C974" s="511" t="s">
        <v>749</v>
      </c>
      <c r="D974" s="512">
        <v>218000</v>
      </c>
      <c r="E974" s="512">
        <v>0</v>
      </c>
      <c r="F974" s="512"/>
      <c r="G974" s="512">
        <v>103000</v>
      </c>
      <c r="H974" s="512">
        <v>10.3</v>
      </c>
      <c r="I974" s="512"/>
      <c r="J974" s="512" t="s">
        <v>249</v>
      </c>
      <c r="K974" s="512" t="b">
        <v>1</v>
      </c>
      <c r="L974" s="512">
        <v>3</v>
      </c>
      <c r="M974" s="513">
        <v>2025</v>
      </c>
      <c r="N974" s="514">
        <v>0</v>
      </c>
      <c r="O974" s="515">
        <v>44620</v>
      </c>
      <c r="P974" s="515">
        <v>44620</v>
      </c>
      <c r="Q974" s="516">
        <v>0</v>
      </c>
    </row>
    <row r="975" spans="1:17" ht="16.5">
      <c r="A975" s="9">
        <v>2022</v>
      </c>
      <c r="B975" s="10" t="s">
        <v>748</v>
      </c>
      <c r="C975" s="511" t="s">
        <v>749</v>
      </c>
      <c r="D975" s="512">
        <v>218000</v>
      </c>
      <c r="E975" s="512">
        <v>0</v>
      </c>
      <c r="F975" s="512"/>
      <c r="G975" s="512">
        <v>103000</v>
      </c>
      <c r="H975" s="512">
        <v>10.3</v>
      </c>
      <c r="I975" s="512"/>
      <c r="J975" s="512" t="s">
        <v>249</v>
      </c>
      <c r="K975" s="512" t="b">
        <v>1</v>
      </c>
      <c r="L975" s="512">
        <v>8</v>
      </c>
      <c r="M975" s="513">
        <v>2030</v>
      </c>
      <c r="N975" s="514">
        <v>0</v>
      </c>
      <c r="O975" s="515">
        <v>44620</v>
      </c>
      <c r="P975" s="515">
        <v>44620</v>
      </c>
      <c r="Q975" s="516">
        <v>0</v>
      </c>
    </row>
    <row r="976" spans="1:17" ht="16.5">
      <c r="A976" s="9">
        <v>2022</v>
      </c>
      <c r="B976" s="10" t="s">
        <v>748</v>
      </c>
      <c r="C976" s="511" t="s">
        <v>749</v>
      </c>
      <c r="D976" s="512">
        <v>218000</v>
      </c>
      <c r="E976" s="512">
        <v>0</v>
      </c>
      <c r="F976" s="512"/>
      <c r="G976" s="512">
        <v>103000</v>
      </c>
      <c r="H976" s="512">
        <v>10.3</v>
      </c>
      <c r="I976" s="512"/>
      <c r="J976" s="512" t="s">
        <v>249</v>
      </c>
      <c r="K976" s="512" t="b">
        <v>1</v>
      </c>
      <c r="L976" s="512">
        <v>7</v>
      </c>
      <c r="M976" s="513">
        <v>2029</v>
      </c>
      <c r="N976" s="514">
        <v>0</v>
      </c>
      <c r="O976" s="515">
        <v>44620</v>
      </c>
      <c r="P976" s="515">
        <v>44620</v>
      </c>
      <c r="Q976" s="516">
        <v>0</v>
      </c>
    </row>
    <row r="977" spans="1:17" ht="16.5">
      <c r="A977" s="9">
        <v>2022</v>
      </c>
      <c r="B977" s="10" t="s">
        <v>748</v>
      </c>
      <c r="C977" s="511" t="s">
        <v>749</v>
      </c>
      <c r="D977" s="512">
        <v>218000</v>
      </c>
      <c r="E977" s="512">
        <v>0</v>
      </c>
      <c r="F977" s="512"/>
      <c r="G977" s="512">
        <v>103000</v>
      </c>
      <c r="H977" s="512">
        <v>10.3</v>
      </c>
      <c r="I977" s="512"/>
      <c r="J977" s="512" t="s">
        <v>249</v>
      </c>
      <c r="K977" s="512" t="b">
        <v>1</v>
      </c>
      <c r="L977" s="512">
        <v>2</v>
      </c>
      <c r="M977" s="513">
        <v>2024</v>
      </c>
      <c r="N977" s="514">
        <v>0</v>
      </c>
      <c r="O977" s="515">
        <v>44620</v>
      </c>
      <c r="P977" s="515">
        <v>44620</v>
      </c>
      <c r="Q977" s="516">
        <v>0</v>
      </c>
    </row>
    <row r="978" spans="1:17" ht="16.5">
      <c r="A978" s="9">
        <v>2022</v>
      </c>
      <c r="B978" s="10" t="s">
        <v>748</v>
      </c>
      <c r="C978" s="511" t="s">
        <v>749</v>
      </c>
      <c r="D978" s="512">
        <v>218000</v>
      </c>
      <c r="E978" s="512">
        <v>0</v>
      </c>
      <c r="F978" s="512"/>
      <c r="G978" s="512">
        <v>103000</v>
      </c>
      <c r="H978" s="512">
        <v>10.3</v>
      </c>
      <c r="I978" s="512"/>
      <c r="J978" s="512" t="s">
        <v>249</v>
      </c>
      <c r="K978" s="512" t="b">
        <v>1</v>
      </c>
      <c r="L978" s="512">
        <v>10</v>
      </c>
      <c r="M978" s="513">
        <v>2032</v>
      </c>
      <c r="N978" s="514">
        <v>0</v>
      </c>
      <c r="O978" s="515">
        <v>44620</v>
      </c>
      <c r="P978" s="515">
        <v>44620</v>
      </c>
      <c r="Q978" s="516">
        <v>0</v>
      </c>
    </row>
    <row r="979" spans="1:17" ht="16.5">
      <c r="A979" s="9">
        <v>2022</v>
      </c>
      <c r="B979" s="10" t="s">
        <v>748</v>
      </c>
      <c r="C979" s="511" t="s">
        <v>749</v>
      </c>
      <c r="D979" s="512">
        <v>218000</v>
      </c>
      <c r="E979" s="512">
        <v>0</v>
      </c>
      <c r="F979" s="512"/>
      <c r="G979" s="512">
        <v>51131</v>
      </c>
      <c r="H979" s="512" t="s">
        <v>274</v>
      </c>
      <c r="I979" s="512"/>
      <c r="J979" s="512" t="s">
        <v>215</v>
      </c>
      <c r="K979" s="512" t="b">
        <v>1</v>
      </c>
      <c r="L979" s="512">
        <v>2</v>
      </c>
      <c r="M979" s="513">
        <v>2024</v>
      </c>
      <c r="N979" s="514">
        <v>0</v>
      </c>
      <c r="O979" s="515">
        <v>44620</v>
      </c>
      <c r="P979" s="515">
        <v>44620</v>
      </c>
      <c r="Q979" s="516">
        <v>0</v>
      </c>
    </row>
    <row r="980" spans="1:17" ht="16.5">
      <c r="A980" s="9">
        <v>2022</v>
      </c>
      <c r="B980" s="10" t="s">
        <v>748</v>
      </c>
      <c r="C980" s="511" t="s">
        <v>749</v>
      </c>
      <c r="D980" s="512">
        <v>218000</v>
      </c>
      <c r="E980" s="512">
        <v>0</v>
      </c>
      <c r="F980" s="512"/>
      <c r="G980" s="512">
        <v>51131</v>
      </c>
      <c r="H980" s="512" t="s">
        <v>274</v>
      </c>
      <c r="I980" s="512"/>
      <c r="J980" s="512" t="s">
        <v>215</v>
      </c>
      <c r="K980" s="512" t="b">
        <v>1</v>
      </c>
      <c r="L980" s="512">
        <v>0</v>
      </c>
      <c r="M980" s="513">
        <v>2022</v>
      </c>
      <c r="N980" s="514">
        <v>0</v>
      </c>
      <c r="O980" s="515">
        <v>44620</v>
      </c>
      <c r="P980" s="515">
        <v>44620</v>
      </c>
      <c r="Q980" s="516">
        <v>0</v>
      </c>
    </row>
    <row r="981" spans="1:17" ht="16.5">
      <c r="A981" s="9">
        <v>2022</v>
      </c>
      <c r="B981" s="10" t="s">
        <v>748</v>
      </c>
      <c r="C981" s="511" t="s">
        <v>749</v>
      </c>
      <c r="D981" s="512">
        <v>218000</v>
      </c>
      <c r="E981" s="512">
        <v>0</v>
      </c>
      <c r="F981" s="512"/>
      <c r="G981" s="512">
        <v>51131</v>
      </c>
      <c r="H981" s="512" t="s">
        <v>274</v>
      </c>
      <c r="I981" s="512"/>
      <c r="J981" s="512" t="s">
        <v>215</v>
      </c>
      <c r="K981" s="512" t="b">
        <v>1</v>
      </c>
      <c r="L981" s="512">
        <v>3</v>
      </c>
      <c r="M981" s="513">
        <v>2025</v>
      </c>
      <c r="N981" s="514">
        <v>0</v>
      </c>
      <c r="O981" s="515">
        <v>44620</v>
      </c>
      <c r="P981" s="515">
        <v>44620</v>
      </c>
      <c r="Q981" s="516">
        <v>0</v>
      </c>
    </row>
    <row r="982" spans="1:17" ht="16.5">
      <c r="A982" s="9">
        <v>2022</v>
      </c>
      <c r="B982" s="10" t="s">
        <v>748</v>
      </c>
      <c r="C982" s="511" t="s">
        <v>749</v>
      </c>
      <c r="D982" s="512">
        <v>218000</v>
      </c>
      <c r="E982" s="512">
        <v>0</v>
      </c>
      <c r="F982" s="512"/>
      <c r="G982" s="512">
        <v>51131</v>
      </c>
      <c r="H982" s="512" t="s">
        <v>274</v>
      </c>
      <c r="I982" s="512"/>
      <c r="J982" s="512" t="s">
        <v>215</v>
      </c>
      <c r="K982" s="512" t="b">
        <v>1</v>
      </c>
      <c r="L982" s="512">
        <v>10</v>
      </c>
      <c r="M982" s="513">
        <v>2032</v>
      </c>
      <c r="N982" s="514">
        <v>0</v>
      </c>
      <c r="O982" s="515">
        <v>44620</v>
      </c>
      <c r="P982" s="515">
        <v>44620</v>
      </c>
      <c r="Q982" s="516">
        <v>0</v>
      </c>
    </row>
    <row r="983" spans="1:17" ht="16.5">
      <c r="A983" s="9">
        <v>2022</v>
      </c>
      <c r="B983" s="10" t="s">
        <v>748</v>
      </c>
      <c r="C983" s="511" t="s">
        <v>749</v>
      </c>
      <c r="D983" s="512">
        <v>218000</v>
      </c>
      <c r="E983" s="512">
        <v>0</v>
      </c>
      <c r="F983" s="512"/>
      <c r="G983" s="512">
        <v>51131</v>
      </c>
      <c r="H983" s="512" t="s">
        <v>274</v>
      </c>
      <c r="I983" s="512"/>
      <c r="J983" s="512" t="s">
        <v>215</v>
      </c>
      <c r="K983" s="512" t="b">
        <v>1</v>
      </c>
      <c r="L983" s="512">
        <v>1</v>
      </c>
      <c r="M983" s="513">
        <v>2023</v>
      </c>
      <c r="N983" s="514">
        <v>0</v>
      </c>
      <c r="O983" s="515">
        <v>44620</v>
      </c>
      <c r="P983" s="515">
        <v>44620</v>
      </c>
      <c r="Q983" s="516">
        <v>0</v>
      </c>
    </row>
    <row r="984" spans="1:17" ht="16.5">
      <c r="A984" s="9">
        <v>2022</v>
      </c>
      <c r="B984" s="10" t="s">
        <v>748</v>
      </c>
      <c r="C984" s="511" t="s">
        <v>749</v>
      </c>
      <c r="D984" s="512">
        <v>218000</v>
      </c>
      <c r="E984" s="512">
        <v>0</v>
      </c>
      <c r="F984" s="512"/>
      <c r="G984" s="512">
        <v>51131</v>
      </c>
      <c r="H984" s="512" t="s">
        <v>274</v>
      </c>
      <c r="I984" s="512"/>
      <c r="J984" s="512" t="s">
        <v>215</v>
      </c>
      <c r="K984" s="512" t="b">
        <v>1</v>
      </c>
      <c r="L984" s="512">
        <v>11</v>
      </c>
      <c r="M984" s="513">
        <v>2033</v>
      </c>
      <c r="N984" s="514">
        <v>0</v>
      </c>
      <c r="O984" s="515">
        <v>44620</v>
      </c>
      <c r="P984" s="515">
        <v>44620</v>
      </c>
      <c r="Q984" s="516">
        <v>0</v>
      </c>
    </row>
    <row r="985" spans="1:17" ht="16.5">
      <c r="A985" s="9">
        <v>2022</v>
      </c>
      <c r="B985" s="10" t="s">
        <v>748</v>
      </c>
      <c r="C985" s="511" t="s">
        <v>749</v>
      </c>
      <c r="D985" s="512">
        <v>218000</v>
      </c>
      <c r="E985" s="512">
        <v>0</v>
      </c>
      <c r="F985" s="512"/>
      <c r="G985" s="512">
        <v>51131</v>
      </c>
      <c r="H985" s="512" t="s">
        <v>274</v>
      </c>
      <c r="I985" s="512"/>
      <c r="J985" s="512" t="s">
        <v>215</v>
      </c>
      <c r="K985" s="512" t="b">
        <v>1</v>
      </c>
      <c r="L985" s="512">
        <v>8</v>
      </c>
      <c r="M985" s="513">
        <v>2030</v>
      </c>
      <c r="N985" s="514">
        <v>0</v>
      </c>
      <c r="O985" s="515">
        <v>44620</v>
      </c>
      <c r="P985" s="515">
        <v>44620</v>
      </c>
      <c r="Q985" s="516">
        <v>0</v>
      </c>
    </row>
    <row r="986" spans="1:17" ht="16.5">
      <c r="A986" s="9">
        <v>2022</v>
      </c>
      <c r="B986" s="10" t="s">
        <v>748</v>
      </c>
      <c r="C986" s="511" t="s">
        <v>749</v>
      </c>
      <c r="D986" s="512">
        <v>218000</v>
      </c>
      <c r="E986" s="512">
        <v>0</v>
      </c>
      <c r="F986" s="512"/>
      <c r="G986" s="512">
        <v>51131</v>
      </c>
      <c r="H986" s="512" t="s">
        <v>274</v>
      </c>
      <c r="I986" s="512"/>
      <c r="J986" s="512" t="s">
        <v>215</v>
      </c>
      <c r="K986" s="512" t="b">
        <v>1</v>
      </c>
      <c r="L986" s="512">
        <v>7</v>
      </c>
      <c r="M986" s="513">
        <v>2029</v>
      </c>
      <c r="N986" s="514">
        <v>0</v>
      </c>
      <c r="O986" s="515">
        <v>44620</v>
      </c>
      <c r="P986" s="515">
        <v>44620</v>
      </c>
      <c r="Q986" s="516">
        <v>0</v>
      </c>
    </row>
    <row r="987" spans="1:17" ht="16.5">
      <c r="A987" s="9">
        <v>2022</v>
      </c>
      <c r="B987" s="10" t="s">
        <v>748</v>
      </c>
      <c r="C987" s="511" t="s">
        <v>749</v>
      </c>
      <c r="D987" s="512">
        <v>218000</v>
      </c>
      <c r="E987" s="512">
        <v>0</v>
      </c>
      <c r="F987" s="512"/>
      <c r="G987" s="512">
        <v>51131</v>
      </c>
      <c r="H987" s="512" t="s">
        <v>274</v>
      </c>
      <c r="I987" s="512"/>
      <c r="J987" s="512" t="s">
        <v>215</v>
      </c>
      <c r="K987" s="512" t="b">
        <v>1</v>
      </c>
      <c r="L987" s="512">
        <v>5</v>
      </c>
      <c r="M987" s="513">
        <v>2027</v>
      </c>
      <c r="N987" s="514">
        <v>0</v>
      </c>
      <c r="O987" s="515">
        <v>44620</v>
      </c>
      <c r="P987" s="515">
        <v>44620</v>
      </c>
      <c r="Q987" s="516">
        <v>0</v>
      </c>
    </row>
    <row r="988" spans="1:17" ht="16.5">
      <c r="A988" s="9">
        <v>2022</v>
      </c>
      <c r="B988" s="10" t="s">
        <v>748</v>
      </c>
      <c r="C988" s="511" t="s">
        <v>749</v>
      </c>
      <c r="D988" s="512">
        <v>218000</v>
      </c>
      <c r="E988" s="512">
        <v>0</v>
      </c>
      <c r="F988" s="512"/>
      <c r="G988" s="512">
        <v>51131</v>
      </c>
      <c r="H988" s="512" t="s">
        <v>274</v>
      </c>
      <c r="I988" s="512"/>
      <c r="J988" s="512" t="s">
        <v>215</v>
      </c>
      <c r="K988" s="512" t="b">
        <v>1</v>
      </c>
      <c r="L988" s="512">
        <v>6</v>
      </c>
      <c r="M988" s="513">
        <v>2028</v>
      </c>
      <c r="N988" s="514">
        <v>0</v>
      </c>
      <c r="O988" s="515">
        <v>44620</v>
      </c>
      <c r="P988" s="515">
        <v>44620</v>
      </c>
      <c r="Q988" s="516">
        <v>0</v>
      </c>
    </row>
    <row r="989" spans="1:17" ht="16.5">
      <c r="A989" s="9">
        <v>2022</v>
      </c>
      <c r="B989" s="10" t="s">
        <v>748</v>
      </c>
      <c r="C989" s="511" t="s">
        <v>749</v>
      </c>
      <c r="D989" s="512">
        <v>218000</v>
      </c>
      <c r="E989" s="512">
        <v>0</v>
      </c>
      <c r="F989" s="512"/>
      <c r="G989" s="512">
        <v>51131</v>
      </c>
      <c r="H989" s="512" t="s">
        <v>274</v>
      </c>
      <c r="I989" s="512"/>
      <c r="J989" s="512" t="s">
        <v>215</v>
      </c>
      <c r="K989" s="512" t="b">
        <v>1</v>
      </c>
      <c r="L989" s="512">
        <v>4</v>
      </c>
      <c r="M989" s="513">
        <v>2026</v>
      </c>
      <c r="N989" s="514">
        <v>0</v>
      </c>
      <c r="O989" s="515">
        <v>44620</v>
      </c>
      <c r="P989" s="515">
        <v>44620</v>
      </c>
      <c r="Q989" s="516">
        <v>0</v>
      </c>
    </row>
    <row r="990" spans="1:17" ht="16.5">
      <c r="A990" s="9">
        <v>2022</v>
      </c>
      <c r="B990" s="10" t="s">
        <v>748</v>
      </c>
      <c r="C990" s="511" t="s">
        <v>749</v>
      </c>
      <c r="D990" s="512">
        <v>218000</v>
      </c>
      <c r="E990" s="512">
        <v>0</v>
      </c>
      <c r="F990" s="512"/>
      <c r="G990" s="512">
        <v>51131</v>
      </c>
      <c r="H990" s="512" t="s">
        <v>274</v>
      </c>
      <c r="I990" s="512"/>
      <c r="J990" s="512" t="s">
        <v>215</v>
      </c>
      <c r="K990" s="512" t="b">
        <v>1</v>
      </c>
      <c r="L990" s="512">
        <v>9</v>
      </c>
      <c r="M990" s="513">
        <v>2031</v>
      </c>
      <c r="N990" s="514">
        <v>0</v>
      </c>
      <c r="O990" s="515">
        <v>44620</v>
      </c>
      <c r="P990" s="515">
        <v>44620</v>
      </c>
      <c r="Q990" s="516">
        <v>0</v>
      </c>
    </row>
    <row r="991" spans="1:17" ht="16.5">
      <c r="A991" s="9">
        <v>2022</v>
      </c>
      <c r="B991" s="10" t="s">
        <v>748</v>
      </c>
      <c r="C991" s="511" t="s">
        <v>749</v>
      </c>
      <c r="D991" s="512">
        <v>218000</v>
      </c>
      <c r="E991" s="512">
        <v>0</v>
      </c>
      <c r="F991" s="512"/>
      <c r="G991" s="512">
        <v>12100</v>
      </c>
      <c r="H991" s="512" t="s">
        <v>37</v>
      </c>
      <c r="I991" s="512"/>
      <c r="J991" s="512" t="s">
        <v>190</v>
      </c>
      <c r="K991" s="512" t="b">
        <v>1</v>
      </c>
      <c r="L991" s="512">
        <v>7</v>
      </c>
      <c r="M991" s="513">
        <v>2029</v>
      </c>
      <c r="N991" s="514">
        <v>0</v>
      </c>
      <c r="O991" s="515">
        <v>44620</v>
      </c>
      <c r="P991" s="515">
        <v>44620</v>
      </c>
      <c r="Q991" s="516">
        <v>0</v>
      </c>
    </row>
    <row r="992" spans="1:17" ht="16.5">
      <c r="A992" s="9">
        <v>2022</v>
      </c>
      <c r="B992" s="10" t="s">
        <v>748</v>
      </c>
      <c r="C992" s="511" t="s">
        <v>749</v>
      </c>
      <c r="D992" s="512">
        <v>218000</v>
      </c>
      <c r="E992" s="512">
        <v>0</v>
      </c>
      <c r="F992" s="512"/>
      <c r="G992" s="512">
        <v>12100</v>
      </c>
      <c r="H992" s="512" t="s">
        <v>37</v>
      </c>
      <c r="I992" s="512"/>
      <c r="J992" s="512" t="s">
        <v>190</v>
      </c>
      <c r="K992" s="512" t="b">
        <v>1</v>
      </c>
      <c r="L992" s="512">
        <v>3</v>
      </c>
      <c r="M992" s="513">
        <v>2025</v>
      </c>
      <c r="N992" s="514">
        <v>0</v>
      </c>
      <c r="O992" s="515">
        <v>44620</v>
      </c>
      <c r="P992" s="515">
        <v>44620</v>
      </c>
      <c r="Q992" s="516">
        <v>0</v>
      </c>
    </row>
    <row r="993" spans="1:17" ht="16.5">
      <c r="A993" s="9">
        <v>2022</v>
      </c>
      <c r="B993" s="10" t="s">
        <v>748</v>
      </c>
      <c r="C993" s="511" t="s">
        <v>749</v>
      </c>
      <c r="D993" s="512">
        <v>218000</v>
      </c>
      <c r="E993" s="512">
        <v>0</v>
      </c>
      <c r="F993" s="512"/>
      <c r="G993" s="512">
        <v>12100</v>
      </c>
      <c r="H993" s="512" t="s">
        <v>37</v>
      </c>
      <c r="I993" s="512"/>
      <c r="J993" s="512" t="s">
        <v>190</v>
      </c>
      <c r="K993" s="512" t="b">
        <v>1</v>
      </c>
      <c r="L993" s="512">
        <v>4</v>
      </c>
      <c r="M993" s="513">
        <v>2026</v>
      </c>
      <c r="N993" s="514">
        <v>0</v>
      </c>
      <c r="O993" s="515">
        <v>44620</v>
      </c>
      <c r="P993" s="515">
        <v>44620</v>
      </c>
      <c r="Q993" s="516">
        <v>0</v>
      </c>
    </row>
    <row r="994" spans="1:17" ht="16.5">
      <c r="A994" s="9">
        <v>2022</v>
      </c>
      <c r="B994" s="10" t="s">
        <v>748</v>
      </c>
      <c r="C994" s="511" t="s">
        <v>749</v>
      </c>
      <c r="D994" s="512">
        <v>218000</v>
      </c>
      <c r="E994" s="512">
        <v>0</v>
      </c>
      <c r="F994" s="512"/>
      <c r="G994" s="512">
        <v>12100</v>
      </c>
      <c r="H994" s="512" t="s">
        <v>37</v>
      </c>
      <c r="I994" s="512"/>
      <c r="J994" s="512" t="s">
        <v>190</v>
      </c>
      <c r="K994" s="512" t="b">
        <v>1</v>
      </c>
      <c r="L994" s="512">
        <v>1</v>
      </c>
      <c r="M994" s="513">
        <v>2023</v>
      </c>
      <c r="N994" s="514">
        <v>0</v>
      </c>
      <c r="O994" s="515">
        <v>44620</v>
      </c>
      <c r="P994" s="515">
        <v>44620</v>
      </c>
      <c r="Q994" s="516">
        <v>0</v>
      </c>
    </row>
    <row r="995" spans="1:17" ht="16.5">
      <c r="A995" s="9">
        <v>2022</v>
      </c>
      <c r="B995" s="10" t="s">
        <v>748</v>
      </c>
      <c r="C995" s="511" t="s">
        <v>749</v>
      </c>
      <c r="D995" s="512">
        <v>218000</v>
      </c>
      <c r="E995" s="512">
        <v>0</v>
      </c>
      <c r="F995" s="512"/>
      <c r="G995" s="512">
        <v>12100</v>
      </c>
      <c r="H995" s="512" t="s">
        <v>37</v>
      </c>
      <c r="I995" s="512"/>
      <c r="J995" s="512" t="s">
        <v>190</v>
      </c>
      <c r="K995" s="512" t="b">
        <v>1</v>
      </c>
      <c r="L995" s="512">
        <v>8</v>
      </c>
      <c r="M995" s="513">
        <v>2030</v>
      </c>
      <c r="N995" s="514">
        <v>0</v>
      </c>
      <c r="O995" s="515">
        <v>44620</v>
      </c>
      <c r="P995" s="515">
        <v>44620</v>
      </c>
      <c r="Q995" s="516">
        <v>0</v>
      </c>
    </row>
    <row r="996" spans="1:17" ht="16.5">
      <c r="A996" s="9">
        <v>2022</v>
      </c>
      <c r="B996" s="10" t="s">
        <v>748</v>
      </c>
      <c r="C996" s="511" t="s">
        <v>749</v>
      </c>
      <c r="D996" s="512">
        <v>218000</v>
      </c>
      <c r="E996" s="512">
        <v>0</v>
      </c>
      <c r="F996" s="512"/>
      <c r="G996" s="512">
        <v>12100</v>
      </c>
      <c r="H996" s="512" t="s">
        <v>37</v>
      </c>
      <c r="I996" s="512"/>
      <c r="J996" s="512" t="s">
        <v>190</v>
      </c>
      <c r="K996" s="512" t="b">
        <v>1</v>
      </c>
      <c r="L996" s="512">
        <v>0</v>
      </c>
      <c r="M996" s="513">
        <v>2022</v>
      </c>
      <c r="N996" s="514">
        <v>29000</v>
      </c>
      <c r="O996" s="515">
        <v>44620</v>
      </c>
      <c r="P996" s="515">
        <v>44620</v>
      </c>
      <c r="Q996" s="516">
        <v>0</v>
      </c>
    </row>
    <row r="997" spans="1:17" ht="16.5">
      <c r="A997" s="9">
        <v>2022</v>
      </c>
      <c r="B997" s="10" t="s">
        <v>748</v>
      </c>
      <c r="C997" s="511" t="s">
        <v>749</v>
      </c>
      <c r="D997" s="512">
        <v>218000</v>
      </c>
      <c r="E997" s="512">
        <v>0</v>
      </c>
      <c r="F997" s="512"/>
      <c r="G997" s="512">
        <v>12100</v>
      </c>
      <c r="H997" s="512" t="s">
        <v>37</v>
      </c>
      <c r="I997" s="512"/>
      <c r="J997" s="512" t="s">
        <v>190</v>
      </c>
      <c r="K997" s="512" t="b">
        <v>1</v>
      </c>
      <c r="L997" s="512">
        <v>11</v>
      </c>
      <c r="M997" s="513">
        <v>2033</v>
      </c>
      <c r="N997" s="514">
        <v>0</v>
      </c>
      <c r="O997" s="515">
        <v>44620</v>
      </c>
      <c r="P997" s="515">
        <v>44620</v>
      </c>
      <c r="Q997" s="516">
        <v>0</v>
      </c>
    </row>
    <row r="998" spans="1:17" ht="16.5">
      <c r="A998" s="9">
        <v>2022</v>
      </c>
      <c r="B998" s="10" t="s">
        <v>748</v>
      </c>
      <c r="C998" s="511" t="s">
        <v>749</v>
      </c>
      <c r="D998" s="512">
        <v>218000</v>
      </c>
      <c r="E998" s="512">
        <v>0</v>
      </c>
      <c r="F998" s="512"/>
      <c r="G998" s="512">
        <v>12100</v>
      </c>
      <c r="H998" s="512" t="s">
        <v>37</v>
      </c>
      <c r="I998" s="512"/>
      <c r="J998" s="512" t="s">
        <v>190</v>
      </c>
      <c r="K998" s="512" t="b">
        <v>1</v>
      </c>
      <c r="L998" s="512">
        <v>5</v>
      </c>
      <c r="M998" s="513">
        <v>2027</v>
      </c>
      <c r="N998" s="514">
        <v>0</v>
      </c>
      <c r="O998" s="515">
        <v>44620</v>
      </c>
      <c r="P998" s="515">
        <v>44620</v>
      </c>
      <c r="Q998" s="516">
        <v>0</v>
      </c>
    </row>
    <row r="999" spans="1:17" ht="16.5">
      <c r="A999" s="9">
        <v>2022</v>
      </c>
      <c r="B999" s="10" t="s">
        <v>748</v>
      </c>
      <c r="C999" s="511" t="s">
        <v>749</v>
      </c>
      <c r="D999" s="512">
        <v>218000</v>
      </c>
      <c r="E999" s="512">
        <v>0</v>
      </c>
      <c r="F999" s="512"/>
      <c r="G999" s="512">
        <v>12100</v>
      </c>
      <c r="H999" s="512" t="s">
        <v>37</v>
      </c>
      <c r="I999" s="512"/>
      <c r="J999" s="512" t="s">
        <v>190</v>
      </c>
      <c r="K999" s="512" t="b">
        <v>1</v>
      </c>
      <c r="L999" s="512">
        <v>9</v>
      </c>
      <c r="M999" s="513">
        <v>2031</v>
      </c>
      <c r="N999" s="514">
        <v>0</v>
      </c>
      <c r="O999" s="515">
        <v>44620</v>
      </c>
      <c r="P999" s="515">
        <v>44620</v>
      </c>
      <c r="Q999" s="516">
        <v>0</v>
      </c>
    </row>
    <row r="1000" spans="1:17" ht="16.5">
      <c r="A1000" s="9">
        <v>2022</v>
      </c>
      <c r="B1000" s="10" t="s">
        <v>748</v>
      </c>
      <c r="C1000" s="511" t="s">
        <v>749</v>
      </c>
      <c r="D1000" s="512">
        <v>218000</v>
      </c>
      <c r="E1000" s="512">
        <v>0</v>
      </c>
      <c r="F1000" s="512"/>
      <c r="G1000" s="512">
        <v>12100</v>
      </c>
      <c r="H1000" s="512" t="s">
        <v>37</v>
      </c>
      <c r="I1000" s="512"/>
      <c r="J1000" s="512" t="s">
        <v>190</v>
      </c>
      <c r="K1000" s="512" t="b">
        <v>1</v>
      </c>
      <c r="L1000" s="512">
        <v>6</v>
      </c>
      <c r="M1000" s="513">
        <v>2028</v>
      </c>
      <c r="N1000" s="514">
        <v>0</v>
      </c>
      <c r="O1000" s="515">
        <v>44620</v>
      </c>
      <c r="P1000" s="515">
        <v>44620</v>
      </c>
      <c r="Q1000" s="516">
        <v>0</v>
      </c>
    </row>
    <row r="1001" spans="1:17" ht="16.5">
      <c r="A1001" s="9">
        <v>2022</v>
      </c>
      <c r="B1001" s="10" t="s">
        <v>748</v>
      </c>
      <c r="C1001" s="511" t="s">
        <v>749</v>
      </c>
      <c r="D1001" s="512">
        <v>218000</v>
      </c>
      <c r="E1001" s="512">
        <v>0</v>
      </c>
      <c r="F1001" s="512"/>
      <c r="G1001" s="512">
        <v>12100</v>
      </c>
      <c r="H1001" s="512" t="s">
        <v>37</v>
      </c>
      <c r="I1001" s="512"/>
      <c r="J1001" s="512" t="s">
        <v>190</v>
      </c>
      <c r="K1001" s="512" t="b">
        <v>1</v>
      </c>
      <c r="L1001" s="512">
        <v>10</v>
      </c>
      <c r="M1001" s="513">
        <v>2032</v>
      </c>
      <c r="N1001" s="514">
        <v>0</v>
      </c>
      <c r="O1001" s="515">
        <v>44620</v>
      </c>
      <c r="P1001" s="515">
        <v>44620</v>
      </c>
      <c r="Q1001" s="516">
        <v>0</v>
      </c>
    </row>
    <row r="1002" spans="1:17" ht="16.5">
      <c r="A1002" s="9">
        <v>2022</v>
      </c>
      <c r="B1002" s="10" t="s">
        <v>748</v>
      </c>
      <c r="C1002" s="511" t="s">
        <v>749</v>
      </c>
      <c r="D1002" s="512">
        <v>218000</v>
      </c>
      <c r="E1002" s="512">
        <v>0</v>
      </c>
      <c r="F1002" s="512"/>
      <c r="G1002" s="512">
        <v>12100</v>
      </c>
      <c r="H1002" s="512" t="s">
        <v>37</v>
      </c>
      <c r="I1002" s="512"/>
      <c r="J1002" s="512" t="s">
        <v>190</v>
      </c>
      <c r="K1002" s="512" t="b">
        <v>1</v>
      </c>
      <c r="L1002" s="512">
        <v>2</v>
      </c>
      <c r="M1002" s="513">
        <v>2024</v>
      </c>
      <c r="N1002" s="514">
        <v>0</v>
      </c>
      <c r="O1002" s="515">
        <v>44620</v>
      </c>
      <c r="P1002" s="515">
        <v>44620</v>
      </c>
      <c r="Q1002" s="516">
        <v>0</v>
      </c>
    </row>
    <row r="1003" spans="1:17" ht="16.5">
      <c r="A1003" s="9">
        <v>2022</v>
      </c>
      <c r="B1003" s="10" t="s">
        <v>748</v>
      </c>
      <c r="C1003" s="511" t="s">
        <v>749</v>
      </c>
      <c r="D1003" s="512">
        <v>218000</v>
      </c>
      <c r="E1003" s="512">
        <v>0</v>
      </c>
      <c r="F1003" s="512"/>
      <c r="G1003" s="512">
        <v>43100</v>
      </c>
      <c r="H1003" s="512" t="s">
        <v>45</v>
      </c>
      <c r="I1003" s="512"/>
      <c r="J1003" s="512" t="s">
        <v>206</v>
      </c>
      <c r="K1003" s="512" t="b">
        <v>1</v>
      </c>
      <c r="L1003" s="512">
        <v>7</v>
      </c>
      <c r="M1003" s="513">
        <v>2029</v>
      </c>
      <c r="N1003" s="514">
        <v>0</v>
      </c>
      <c r="O1003" s="515">
        <v>44620</v>
      </c>
      <c r="P1003" s="515">
        <v>44620</v>
      </c>
      <c r="Q1003" s="516">
        <v>0</v>
      </c>
    </row>
    <row r="1004" spans="1:17" ht="16.5">
      <c r="A1004" s="9">
        <v>2022</v>
      </c>
      <c r="B1004" s="10" t="s">
        <v>748</v>
      </c>
      <c r="C1004" s="511" t="s">
        <v>749</v>
      </c>
      <c r="D1004" s="512">
        <v>218000</v>
      </c>
      <c r="E1004" s="512">
        <v>0</v>
      </c>
      <c r="F1004" s="512"/>
      <c r="G1004" s="512">
        <v>43100</v>
      </c>
      <c r="H1004" s="512" t="s">
        <v>45</v>
      </c>
      <c r="I1004" s="512"/>
      <c r="J1004" s="512" t="s">
        <v>206</v>
      </c>
      <c r="K1004" s="512" t="b">
        <v>1</v>
      </c>
      <c r="L1004" s="512">
        <v>10</v>
      </c>
      <c r="M1004" s="513">
        <v>2032</v>
      </c>
      <c r="N1004" s="514">
        <v>0</v>
      </c>
      <c r="O1004" s="515">
        <v>44620</v>
      </c>
      <c r="P1004" s="515">
        <v>44620</v>
      </c>
      <c r="Q1004" s="516">
        <v>0</v>
      </c>
    </row>
    <row r="1005" spans="1:17" ht="16.5">
      <c r="A1005" s="9">
        <v>2022</v>
      </c>
      <c r="B1005" s="10" t="s">
        <v>748</v>
      </c>
      <c r="C1005" s="511" t="s">
        <v>749</v>
      </c>
      <c r="D1005" s="512">
        <v>218000</v>
      </c>
      <c r="E1005" s="512">
        <v>0</v>
      </c>
      <c r="F1005" s="512"/>
      <c r="G1005" s="512">
        <v>43100</v>
      </c>
      <c r="H1005" s="512" t="s">
        <v>45</v>
      </c>
      <c r="I1005" s="512"/>
      <c r="J1005" s="512" t="s">
        <v>206</v>
      </c>
      <c r="K1005" s="512" t="b">
        <v>1</v>
      </c>
      <c r="L1005" s="512">
        <v>6</v>
      </c>
      <c r="M1005" s="513">
        <v>2028</v>
      </c>
      <c r="N1005" s="514">
        <v>0</v>
      </c>
      <c r="O1005" s="515">
        <v>44620</v>
      </c>
      <c r="P1005" s="515">
        <v>44620</v>
      </c>
      <c r="Q1005" s="516">
        <v>0</v>
      </c>
    </row>
    <row r="1006" spans="1:17" ht="16.5">
      <c r="A1006" s="9">
        <v>2022</v>
      </c>
      <c r="B1006" s="10" t="s">
        <v>748</v>
      </c>
      <c r="C1006" s="511" t="s">
        <v>749</v>
      </c>
      <c r="D1006" s="512">
        <v>218000</v>
      </c>
      <c r="E1006" s="512">
        <v>0</v>
      </c>
      <c r="F1006" s="512"/>
      <c r="G1006" s="512">
        <v>43100</v>
      </c>
      <c r="H1006" s="512" t="s">
        <v>45</v>
      </c>
      <c r="I1006" s="512"/>
      <c r="J1006" s="512" t="s">
        <v>206</v>
      </c>
      <c r="K1006" s="512" t="b">
        <v>1</v>
      </c>
      <c r="L1006" s="512">
        <v>5</v>
      </c>
      <c r="M1006" s="513">
        <v>2027</v>
      </c>
      <c r="N1006" s="514">
        <v>0</v>
      </c>
      <c r="O1006" s="515">
        <v>44620</v>
      </c>
      <c r="P1006" s="515">
        <v>44620</v>
      </c>
      <c r="Q1006" s="516">
        <v>0</v>
      </c>
    </row>
    <row r="1007" spans="1:17" ht="16.5">
      <c r="A1007" s="9">
        <v>2022</v>
      </c>
      <c r="B1007" s="10" t="s">
        <v>748</v>
      </c>
      <c r="C1007" s="511" t="s">
        <v>749</v>
      </c>
      <c r="D1007" s="512">
        <v>218000</v>
      </c>
      <c r="E1007" s="512">
        <v>0</v>
      </c>
      <c r="F1007" s="512"/>
      <c r="G1007" s="512">
        <v>43100</v>
      </c>
      <c r="H1007" s="512" t="s">
        <v>45</v>
      </c>
      <c r="I1007" s="512"/>
      <c r="J1007" s="512" t="s">
        <v>206</v>
      </c>
      <c r="K1007" s="512" t="b">
        <v>1</v>
      </c>
      <c r="L1007" s="512">
        <v>4</v>
      </c>
      <c r="M1007" s="513">
        <v>2026</v>
      </c>
      <c r="N1007" s="514">
        <v>0</v>
      </c>
      <c r="O1007" s="515">
        <v>44620</v>
      </c>
      <c r="P1007" s="515">
        <v>44620</v>
      </c>
      <c r="Q1007" s="516">
        <v>0</v>
      </c>
    </row>
    <row r="1008" spans="1:17" ht="16.5">
      <c r="A1008" s="9">
        <v>2022</v>
      </c>
      <c r="B1008" s="10" t="s">
        <v>748</v>
      </c>
      <c r="C1008" s="511" t="s">
        <v>749</v>
      </c>
      <c r="D1008" s="512">
        <v>218000</v>
      </c>
      <c r="E1008" s="512">
        <v>0</v>
      </c>
      <c r="F1008" s="512"/>
      <c r="G1008" s="512">
        <v>43100</v>
      </c>
      <c r="H1008" s="512" t="s">
        <v>45</v>
      </c>
      <c r="I1008" s="512"/>
      <c r="J1008" s="512" t="s">
        <v>206</v>
      </c>
      <c r="K1008" s="512" t="b">
        <v>1</v>
      </c>
      <c r="L1008" s="512">
        <v>11</v>
      </c>
      <c r="M1008" s="513">
        <v>2033</v>
      </c>
      <c r="N1008" s="514">
        <v>0</v>
      </c>
      <c r="O1008" s="515">
        <v>44620</v>
      </c>
      <c r="P1008" s="515">
        <v>44620</v>
      </c>
      <c r="Q1008" s="516">
        <v>0</v>
      </c>
    </row>
    <row r="1009" spans="1:17" ht="16.5">
      <c r="A1009" s="9">
        <v>2022</v>
      </c>
      <c r="B1009" s="10" t="s">
        <v>748</v>
      </c>
      <c r="C1009" s="511" t="s">
        <v>749</v>
      </c>
      <c r="D1009" s="512">
        <v>218000</v>
      </c>
      <c r="E1009" s="512">
        <v>0</v>
      </c>
      <c r="F1009" s="512"/>
      <c r="G1009" s="512">
        <v>43100</v>
      </c>
      <c r="H1009" s="512" t="s">
        <v>45</v>
      </c>
      <c r="I1009" s="512"/>
      <c r="J1009" s="512" t="s">
        <v>206</v>
      </c>
      <c r="K1009" s="512" t="b">
        <v>1</v>
      </c>
      <c r="L1009" s="512">
        <v>8</v>
      </c>
      <c r="M1009" s="513">
        <v>2030</v>
      </c>
      <c r="N1009" s="514">
        <v>0</v>
      </c>
      <c r="O1009" s="515">
        <v>44620</v>
      </c>
      <c r="P1009" s="515">
        <v>44620</v>
      </c>
      <c r="Q1009" s="516">
        <v>0</v>
      </c>
    </row>
    <row r="1010" spans="1:17" ht="16.5">
      <c r="A1010" s="9">
        <v>2022</v>
      </c>
      <c r="B1010" s="10" t="s">
        <v>748</v>
      </c>
      <c r="C1010" s="511" t="s">
        <v>749</v>
      </c>
      <c r="D1010" s="512">
        <v>218000</v>
      </c>
      <c r="E1010" s="512">
        <v>0</v>
      </c>
      <c r="F1010" s="512"/>
      <c r="G1010" s="512">
        <v>43100</v>
      </c>
      <c r="H1010" s="512" t="s">
        <v>45</v>
      </c>
      <c r="I1010" s="512"/>
      <c r="J1010" s="512" t="s">
        <v>206</v>
      </c>
      <c r="K1010" s="512" t="b">
        <v>1</v>
      </c>
      <c r="L1010" s="512">
        <v>2</v>
      </c>
      <c r="M1010" s="513">
        <v>2024</v>
      </c>
      <c r="N1010" s="514">
        <v>0</v>
      </c>
      <c r="O1010" s="515">
        <v>44620</v>
      </c>
      <c r="P1010" s="515">
        <v>44620</v>
      </c>
      <c r="Q1010" s="516">
        <v>0</v>
      </c>
    </row>
    <row r="1011" spans="1:17" ht="16.5">
      <c r="A1011" s="9">
        <v>2022</v>
      </c>
      <c r="B1011" s="10" t="s">
        <v>748</v>
      </c>
      <c r="C1011" s="511" t="s">
        <v>749</v>
      </c>
      <c r="D1011" s="512">
        <v>218000</v>
      </c>
      <c r="E1011" s="512">
        <v>0</v>
      </c>
      <c r="F1011" s="512"/>
      <c r="G1011" s="512">
        <v>43100</v>
      </c>
      <c r="H1011" s="512" t="s">
        <v>45</v>
      </c>
      <c r="I1011" s="512"/>
      <c r="J1011" s="512" t="s">
        <v>206</v>
      </c>
      <c r="K1011" s="512" t="b">
        <v>1</v>
      </c>
      <c r="L1011" s="512">
        <v>9</v>
      </c>
      <c r="M1011" s="513">
        <v>2031</v>
      </c>
      <c r="N1011" s="514">
        <v>0</v>
      </c>
      <c r="O1011" s="515">
        <v>44620</v>
      </c>
      <c r="P1011" s="515">
        <v>44620</v>
      </c>
      <c r="Q1011" s="516">
        <v>0</v>
      </c>
    </row>
    <row r="1012" spans="1:17" ht="16.5">
      <c r="A1012" s="9">
        <v>2022</v>
      </c>
      <c r="B1012" s="10" t="s">
        <v>748</v>
      </c>
      <c r="C1012" s="511" t="s">
        <v>749</v>
      </c>
      <c r="D1012" s="512">
        <v>218000</v>
      </c>
      <c r="E1012" s="512">
        <v>0</v>
      </c>
      <c r="F1012" s="512"/>
      <c r="G1012" s="512">
        <v>43100</v>
      </c>
      <c r="H1012" s="512" t="s">
        <v>45</v>
      </c>
      <c r="I1012" s="512"/>
      <c r="J1012" s="512" t="s">
        <v>206</v>
      </c>
      <c r="K1012" s="512" t="b">
        <v>1</v>
      </c>
      <c r="L1012" s="512">
        <v>0</v>
      </c>
      <c r="M1012" s="513">
        <v>2022</v>
      </c>
      <c r="N1012" s="514">
        <v>7719990</v>
      </c>
      <c r="O1012" s="515">
        <v>44620</v>
      </c>
      <c r="P1012" s="515">
        <v>44620</v>
      </c>
      <c r="Q1012" s="516">
        <v>0</v>
      </c>
    </row>
    <row r="1013" spans="1:17" ht="16.5">
      <c r="A1013" s="9">
        <v>2022</v>
      </c>
      <c r="B1013" s="10" t="s">
        <v>748</v>
      </c>
      <c r="C1013" s="511" t="s">
        <v>749</v>
      </c>
      <c r="D1013" s="512">
        <v>218000</v>
      </c>
      <c r="E1013" s="512">
        <v>0</v>
      </c>
      <c r="F1013" s="512"/>
      <c r="G1013" s="512">
        <v>43100</v>
      </c>
      <c r="H1013" s="512" t="s">
        <v>45</v>
      </c>
      <c r="I1013" s="512"/>
      <c r="J1013" s="512" t="s">
        <v>206</v>
      </c>
      <c r="K1013" s="512" t="b">
        <v>1</v>
      </c>
      <c r="L1013" s="512">
        <v>3</v>
      </c>
      <c r="M1013" s="513">
        <v>2025</v>
      </c>
      <c r="N1013" s="514">
        <v>0</v>
      </c>
      <c r="O1013" s="515">
        <v>44620</v>
      </c>
      <c r="P1013" s="515">
        <v>44620</v>
      </c>
      <c r="Q1013" s="516">
        <v>0</v>
      </c>
    </row>
    <row r="1014" spans="1:17" ht="16.5">
      <c r="A1014" s="9">
        <v>2022</v>
      </c>
      <c r="B1014" s="10" t="s">
        <v>748</v>
      </c>
      <c r="C1014" s="511" t="s">
        <v>749</v>
      </c>
      <c r="D1014" s="512">
        <v>218000</v>
      </c>
      <c r="E1014" s="512">
        <v>0</v>
      </c>
      <c r="F1014" s="512"/>
      <c r="G1014" s="512">
        <v>43100</v>
      </c>
      <c r="H1014" s="512" t="s">
        <v>45</v>
      </c>
      <c r="I1014" s="512"/>
      <c r="J1014" s="512" t="s">
        <v>206</v>
      </c>
      <c r="K1014" s="512" t="b">
        <v>1</v>
      </c>
      <c r="L1014" s="512">
        <v>1</v>
      </c>
      <c r="M1014" s="513">
        <v>2023</v>
      </c>
      <c r="N1014" s="514">
        <v>0</v>
      </c>
      <c r="O1014" s="515">
        <v>44620</v>
      </c>
      <c r="P1014" s="515">
        <v>44620</v>
      </c>
      <c r="Q1014" s="516">
        <v>0</v>
      </c>
    </row>
    <row r="1015" spans="1:17" ht="16.5">
      <c r="A1015" s="9">
        <v>2022</v>
      </c>
      <c r="B1015" s="10" t="s">
        <v>748</v>
      </c>
      <c r="C1015" s="511" t="s">
        <v>749</v>
      </c>
      <c r="D1015" s="512">
        <v>218000</v>
      </c>
      <c r="E1015" s="512">
        <v>0</v>
      </c>
      <c r="F1015" s="512"/>
      <c r="G1015" s="512">
        <v>93110</v>
      </c>
      <c r="H1015" s="512" t="s">
        <v>288</v>
      </c>
      <c r="I1015" s="512"/>
      <c r="J1015" s="512" t="s">
        <v>241</v>
      </c>
      <c r="K1015" s="512" t="b">
        <v>0</v>
      </c>
      <c r="L1015" s="512">
        <v>2</v>
      </c>
      <c r="M1015" s="513">
        <v>2024</v>
      </c>
      <c r="N1015" s="514">
        <v>0</v>
      </c>
      <c r="O1015" s="515">
        <v>44620</v>
      </c>
      <c r="P1015" s="515">
        <v>44620</v>
      </c>
      <c r="Q1015" s="516">
        <v>0</v>
      </c>
    </row>
    <row r="1016" spans="1:17" ht="16.5">
      <c r="A1016" s="9">
        <v>2022</v>
      </c>
      <c r="B1016" s="10" t="s">
        <v>748</v>
      </c>
      <c r="C1016" s="511" t="s">
        <v>749</v>
      </c>
      <c r="D1016" s="512">
        <v>218000</v>
      </c>
      <c r="E1016" s="512">
        <v>0</v>
      </c>
      <c r="F1016" s="512"/>
      <c r="G1016" s="512">
        <v>93110</v>
      </c>
      <c r="H1016" s="512" t="s">
        <v>288</v>
      </c>
      <c r="I1016" s="512"/>
      <c r="J1016" s="512" t="s">
        <v>241</v>
      </c>
      <c r="K1016" s="512" t="b">
        <v>0</v>
      </c>
      <c r="L1016" s="512">
        <v>5</v>
      </c>
      <c r="M1016" s="513">
        <v>2027</v>
      </c>
      <c r="N1016" s="514">
        <v>0</v>
      </c>
      <c r="O1016" s="515">
        <v>44620</v>
      </c>
      <c r="P1016" s="515">
        <v>44620</v>
      </c>
      <c r="Q1016" s="516">
        <v>0</v>
      </c>
    </row>
    <row r="1017" spans="1:17" ht="16.5">
      <c r="A1017" s="9">
        <v>2022</v>
      </c>
      <c r="B1017" s="10" t="s">
        <v>748</v>
      </c>
      <c r="C1017" s="511" t="s">
        <v>749</v>
      </c>
      <c r="D1017" s="512">
        <v>218000</v>
      </c>
      <c r="E1017" s="512">
        <v>0</v>
      </c>
      <c r="F1017" s="512"/>
      <c r="G1017" s="512">
        <v>93110</v>
      </c>
      <c r="H1017" s="512" t="s">
        <v>288</v>
      </c>
      <c r="I1017" s="512"/>
      <c r="J1017" s="512" t="s">
        <v>241</v>
      </c>
      <c r="K1017" s="512" t="b">
        <v>0</v>
      </c>
      <c r="L1017" s="512">
        <v>9</v>
      </c>
      <c r="M1017" s="513">
        <v>2031</v>
      </c>
      <c r="N1017" s="514">
        <v>0</v>
      </c>
      <c r="O1017" s="515">
        <v>44620</v>
      </c>
      <c r="P1017" s="515">
        <v>44620</v>
      </c>
      <c r="Q1017" s="516">
        <v>0</v>
      </c>
    </row>
    <row r="1018" spans="1:17" ht="16.5">
      <c r="A1018" s="9">
        <v>2022</v>
      </c>
      <c r="B1018" s="10" t="s">
        <v>748</v>
      </c>
      <c r="C1018" s="511" t="s">
        <v>749</v>
      </c>
      <c r="D1018" s="512">
        <v>218000</v>
      </c>
      <c r="E1018" s="512">
        <v>0</v>
      </c>
      <c r="F1018" s="512"/>
      <c r="G1018" s="512">
        <v>93110</v>
      </c>
      <c r="H1018" s="512" t="s">
        <v>288</v>
      </c>
      <c r="I1018" s="512"/>
      <c r="J1018" s="512" t="s">
        <v>241</v>
      </c>
      <c r="K1018" s="512" t="b">
        <v>0</v>
      </c>
      <c r="L1018" s="512">
        <v>4</v>
      </c>
      <c r="M1018" s="513">
        <v>2026</v>
      </c>
      <c r="N1018" s="514">
        <v>0</v>
      </c>
      <c r="O1018" s="515">
        <v>44620</v>
      </c>
      <c r="P1018" s="515">
        <v>44620</v>
      </c>
      <c r="Q1018" s="516">
        <v>0</v>
      </c>
    </row>
    <row r="1019" spans="1:17" ht="16.5">
      <c r="A1019" s="9">
        <v>2022</v>
      </c>
      <c r="B1019" s="10" t="s">
        <v>748</v>
      </c>
      <c r="C1019" s="511" t="s">
        <v>749</v>
      </c>
      <c r="D1019" s="512">
        <v>218000</v>
      </c>
      <c r="E1019" s="512">
        <v>0</v>
      </c>
      <c r="F1019" s="512"/>
      <c r="G1019" s="512">
        <v>93110</v>
      </c>
      <c r="H1019" s="512" t="s">
        <v>288</v>
      </c>
      <c r="I1019" s="512"/>
      <c r="J1019" s="512" t="s">
        <v>241</v>
      </c>
      <c r="K1019" s="512" t="b">
        <v>0</v>
      </c>
      <c r="L1019" s="512">
        <v>1</v>
      </c>
      <c r="M1019" s="513">
        <v>2023</v>
      </c>
      <c r="N1019" s="514">
        <v>418220</v>
      </c>
      <c r="O1019" s="515">
        <v>44620</v>
      </c>
      <c r="P1019" s="515">
        <v>44620</v>
      </c>
      <c r="Q1019" s="516">
        <v>0</v>
      </c>
    </row>
    <row r="1020" spans="1:17" ht="16.5">
      <c r="A1020" s="9">
        <v>2022</v>
      </c>
      <c r="B1020" s="10" t="s">
        <v>748</v>
      </c>
      <c r="C1020" s="511" t="s">
        <v>749</v>
      </c>
      <c r="D1020" s="512">
        <v>218000</v>
      </c>
      <c r="E1020" s="512">
        <v>0</v>
      </c>
      <c r="F1020" s="512"/>
      <c r="G1020" s="512">
        <v>93110</v>
      </c>
      <c r="H1020" s="512" t="s">
        <v>288</v>
      </c>
      <c r="I1020" s="512"/>
      <c r="J1020" s="512" t="s">
        <v>241</v>
      </c>
      <c r="K1020" s="512" t="b">
        <v>0</v>
      </c>
      <c r="L1020" s="512">
        <v>6</v>
      </c>
      <c r="M1020" s="513">
        <v>2028</v>
      </c>
      <c r="N1020" s="514">
        <v>0</v>
      </c>
      <c r="O1020" s="515">
        <v>44620</v>
      </c>
      <c r="P1020" s="515">
        <v>44620</v>
      </c>
      <c r="Q1020" s="516">
        <v>0</v>
      </c>
    </row>
    <row r="1021" spans="1:17" ht="16.5">
      <c r="A1021" s="9">
        <v>2022</v>
      </c>
      <c r="B1021" s="10" t="s">
        <v>748</v>
      </c>
      <c r="C1021" s="511" t="s">
        <v>749</v>
      </c>
      <c r="D1021" s="512">
        <v>218000</v>
      </c>
      <c r="E1021" s="512">
        <v>0</v>
      </c>
      <c r="F1021" s="512"/>
      <c r="G1021" s="512">
        <v>93110</v>
      </c>
      <c r="H1021" s="512" t="s">
        <v>288</v>
      </c>
      <c r="I1021" s="512"/>
      <c r="J1021" s="512" t="s">
        <v>241</v>
      </c>
      <c r="K1021" s="512" t="b">
        <v>0</v>
      </c>
      <c r="L1021" s="512">
        <v>7</v>
      </c>
      <c r="M1021" s="513">
        <v>2029</v>
      </c>
      <c r="N1021" s="514">
        <v>0</v>
      </c>
      <c r="O1021" s="515">
        <v>44620</v>
      </c>
      <c r="P1021" s="515">
        <v>44620</v>
      </c>
      <c r="Q1021" s="516">
        <v>0</v>
      </c>
    </row>
    <row r="1022" spans="1:17" ht="16.5">
      <c r="A1022" s="9">
        <v>2022</v>
      </c>
      <c r="B1022" s="10" t="s">
        <v>748</v>
      </c>
      <c r="C1022" s="511" t="s">
        <v>749</v>
      </c>
      <c r="D1022" s="512">
        <v>218000</v>
      </c>
      <c r="E1022" s="512">
        <v>0</v>
      </c>
      <c r="F1022" s="512"/>
      <c r="G1022" s="512">
        <v>93110</v>
      </c>
      <c r="H1022" s="512" t="s">
        <v>288</v>
      </c>
      <c r="I1022" s="512"/>
      <c r="J1022" s="512" t="s">
        <v>241</v>
      </c>
      <c r="K1022" s="512" t="b">
        <v>0</v>
      </c>
      <c r="L1022" s="512">
        <v>3</v>
      </c>
      <c r="M1022" s="513">
        <v>2025</v>
      </c>
      <c r="N1022" s="514">
        <v>0</v>
      </c>
      <c r="O1022" s="515">
        <v>44620</v>
      </c>
      <c r="P1022" s="515">
        <v>44620</v>
      </c>
      <c r="Q1022" s="516">
        <v>0</v>
      </c>
    </row>
    <row r="1023" spans="1:17" ht="16.5">
      <c r="A1023" s="9">
        <v>2022</v>
      </c>
      <c r="B1023" s="10" t="s">
        <v>748</v>
      </c>
      <c r="C1023" s="511" t="s">
        <v>749</v>
      </c>
      <c r="D1023" s="512">
        <v>218000</v>
      </c>
      <c r="E1023" s="512">
        <v>0</v>
      </c>
      <c r="F1023" s="512"/>
      <c r="G1023" s="512">
        <v>93110</v>
      </c>
      <c r="H1023" s="512" t="s">
        <v>288</v>
      </c>
      <c r="I1023" s="512"/>
      <c r="J1023" s="512" t="s">
        <v>241</v>
      </c>
      <c r="K1023" s="512" t="b">
        <v>0</v>
      </c>
      <c r="L1023" s="512">
        <v>10</v>
      </c>
      <c r="M1023" s="513">
        <v>2032</v>
      </c>
      <c r="N1023" s="514">
        <v>0</v>
      </c>
      <c r="O1023" s="515">
        <v>44620</v>
      </c>
      <c r="P1023" s="515">
        <v>44620</v>
      </c>
      <c r="Q1023" s="516">
        <v>0</v>
      </c>
    </row>
    <row r="1024" spans="1:17" ht="16.5">
      <c r="A1024" s="9">
        <v>2022</v>
      </c>
      <c r="B1024" s="10" t="s">
        <v>748</v>
      </c>
      <c r="C1024" s="511" t="s">
        <v>749</v>
      </c>
      <c r="D1024" s="512">
        <v>218000</v>
      </c>
      <c r="E1024" s="512">
        <v>0</v>
      </c>
      <c r="F1024" s="512"/>
      <c r="G1024" s="512">
        <v>93110</v>
      </c>
      <c r="H1024" s="512" t="s">
        <v>288</v>
      </c>
      <c r="I1024" s="512"/>
      <c r="J1024" s="512" t="s">
        <v>241</v>
      </c>
      <c r="K1024" s="512" t="b">
        <v>0</v>
      </c>
      <c r="L1024" s="512">
        <v>11</v>
      </c>
      <c r="M1024" s="513">
        <v>2033</v>
      </c>
      <c r="N1024" s="514">
        <v>0</v>
      </c>
      <c r="O1024" s="515">
        <v>44620</v>
      </c>
      <c r="P1024" s="515">
        <v>44620</v>
      </c>
      <c r="Q1024" s="516">
        <v>0</v>
      </c>
    </row>
    <row r="1025" spans="1:17" ht="16.5">
      <c r="A1025" s="9">
        <v>2022</v>
      </c>
      <c r="B1025" s="10" t="s">
        <v>748</v>
      </c>
      <c r="C1025" s="511" t="s">
        <v>749</v>
      </c>
      <c r="D1025" s="512">
        <v>218000</v>
      </c>
      <c r="E1025" s="512">
        <v>0</v>
      </c>
      <c r="F1025" s="512"/>
      <c r="G1025" s="512">
        <v>93110</v>
      </c>
      <c r="H1025" s="512" t="s">
        <v>288</v>
      </c>
      <c r="I1025" s="512"/>
      <c r="J1025" s="512" t="s">
        <v>241</v>
      </c>
      <c r="K1025" s="512" t="b">
        <v>0</v>
      </c>
      <c r="L1025" s="512">
        <v>8</v>
      </c>
      <c r="M1025" s="513">
        <v>2030</v>
      </c>
      <c r="N1025" s="514">
        <v>0</v>
      </c>
      <c r="O1025" s="515">
        <v>44620</v>
      </c>
      <c r="P1025" s="515">
        <v>44620</v>
      </c>
      <c r="Q1025" s="516">
        <v>0</v>
      </c>
    </row>
    <row r="1026" spans="1:17" ht="16.5">
      <c r="A1026" s="9">
        <v>2022</v>
      </c>
      <c r="B1026" s="10" t="s">
        <v>748</v>
      </c>
      <c r="C1026" s="511" t="s">
        <v>749</v>
      </c>
      <c r="D1026" s="512">
        <v>218000</v>
      </c>
      <c r="E1026" s="512">
        <v>0</v>
      </c>
      <c r="F1026" s="512"/>
      <c r="G1026" s="512">
        <v>93110</v>
      </c>
      <c r="H1026" s="512" t="s">
        <v>288</v>
      </c>
      <c r="I1026" s="512"/>
      <c r="J1026" s="512" t="s">
        <v>241</v>
      </c>
      <c r="K1026" s="512" t="b">
        <v>0</v>
      </c>
      <c r="L1026" s="512">
        <v>0</v>
      </c>
      <c r="M1026" s="513">
        <v>2022</v>
      </c>
      <c r="N1026" s="514">
        <v>2312536</v>
      </c>
      <c r="O1026" s="515">
        <v>44620</v>
      </c>
      <c r="P1026" s="515">
        <v>44620</v>
      </c>
      <c r="Q1026" s="516">
        <v>0</v>
      </c>
    </row>
    <row r="1027" spans="1:17" ht="16.5">
      <c r="A1027" s="9">
        <v>2022</v>
      </c>
      <c r="B1027" s="10" t="s">
        <v>748</v>
      </c>
      <c r="C1027" s="511" t="s">
        <v>749</v>
      </c>
      <c r="D1027" s="512">
        <v>218000</v>
      </c>
      <c r="E1027" s="512">
        <v>0</v>
      </c>
      <c r="F1027" s="512"/>
      <c r="G1027" s="512">
        <v>21320</v>
      </c>
      <c r="H1027" s="512" t="s">
        <v>270</v>
      </c>
      <c r="I1027" s="512"/>
      <c r="J1027" s="512" t="s">
        <v>198</v>
      </c>
      <c r="K1027" s="512" t="b">
        <v>0</v>
      </c>
      <c r="L1027" s="512">
        <v>8</v>
      </c>
      <c r="M1027" s="513">
        <v>2030</v>
      </c>
      <c r="N1027" s="514">
        <v>0</v>
      </c>
      <c r="O1027" s="515">
        <v>44620</v>
      </c>
      <c r="P1027" s="515">
        <v>44620</v>
      </c>
      <c r="Q1027" s="516">
        <v>0</v>
      </c>
    </row>
    <row r="1028" spans="1:17" ht="16.5">
      <c r="A1028" s="9">
        <v>2022</v>
      </c>
      <c r="B1028" s="10" t="s">
        <v>748</v>
      </c>
      <c r="C1028" s="511" t="s">
        <v>749</v>
      </c>
      <c r="D1028" s="512">
        <v>218000</v>
      </c>
      <c r="E1028" s="512">
        <v>0</v>
      </c>
      <c r="F1028" s="512"/>
      <c r="G1028" s="512">
        <v>21320</v>
      </c>
      <c r="H1028" s="512" t="s">
        <v>270</v>
      </c>
      <c r="I1028" s="512"/>
      <c r="J1028" s="512" t="s">
        <v>198</v>
      </c>
      <c r="K1028" s="512" t="b">
        <v>0</v>
      </c>
      <c r="L1028" s="512">
        <v>9</v>
      </c>
      <c r="M1028" s="513">
        <v>2031</v>
      </c>
      <c r="N1028" s="514">
        <v>0</v>
      </c>
      <c r="O1028" s="515">
        <v>44620</v>
      </c>
      <c r="P1028" s="515">
        <v>44620</v>
      </c>
      <c r="Q1028" s="516">
        <v>0</v>
      </c>
    </row>
    <row r="1029" spans="1:17" ht="16.5">
      <c r="A1029" s="9">
        <v>2022</v>
      </c>
      <c r="B1029" s="10" t="s">
        <v>748</v>
      </c>
      <c r="C1029" s="511" t="s">
        <v>749</v>
      </c>
      <c r="D1029" s="512">
        <v>218000</v>
      </c>
      <c r="E1029" s="512">
        <v>0</v>
      </c>
      <c r="F1029" s="512"/>
      <c r="G1029" s="512">
        <v>21320</v>
      </c>
      <c r="H1029" s="512" t="s">
        <v>270</v>
      </c>
      <c r="I1029" s="512"/>
      <c r="J1029" s="512" t="s">
        <v>198</v>
      </c>
      <c r="K1029" s="512" t="b">
        <v>0</v>
      </c>
      <c r="L1029" s="512">
        <v>6</v>
      </c>
      <c r="M1029" s="513">
        <v>2028</v>
      </c>
      <c r="N1029" s="514">
        <v>0</v>
      </c>
      <c r="O1029" s="515">
        <v>44620</v>
      </c>
      <c r="P1029" s="515">
        <v>44620</v>
      </c>
      <c r="Q1029" s="516">
        <v>0</v>
      </c>
    </row>
    <row r="1030" spans="1:17" ht="16.5">
      <c r="A1030" s="9">
        <v>2022</v>
      </c>
      <c r="B1030" s="10" t="s">
        <v>748</v>
      </c>
      <c r="C1030" s="511" t="s">
        <v>749</v>
      </c>
      <c r="D1030" s="512">
        <v>218000</v>
      </c>
      <c r="E1030" s="512">
        <v>0</v>
      </c>
      <c r="F1030" s="512"/>
      <c r="G1030" s="512">
        <v>21320</v>
      </c>
      <c r="H1030" s="512" t="s">
        <v>270</v>
      </c>
      <c r="I1030" s="512"/>
      <c r="J1030" s="512" t="s">
        <v>198</v>
      </c>
      <c r="K1030" s="512" t="b">
        <v>0</v>
      </c>
      <c r="L1030" s="512">
        <v>7</v>
      </c>
      <c r="M1030" s="513">
        <v>2029</v>
      </c>
      <c r="N1030" s="514">
        <v>0</v>
      </c>
      <c r="O1030" s="515">
        <v>44620</v>
      </c>
      <c r="P1030" s="515">
        <v>44620</v>
      </c>
      <c r="Q1030" s="516">
        <v>0</v>
      </c>
    </row>
    <row r="1031" spans="1:17" ht="16.5">
      <c r="A1031" s="9">
        <v>2022</v>
      </c>
      <c r="B1031" s="10" t="s">
        <v>748</v>
      </c>
      <c r="C1031" s="511" t="s">
        <v>749</v>
      </c>
      <c r="D1031" s="512">
        <v>218000</v>
      </c>
      <c r="E1031" s="512">
        <v>0</v>
      </c>
      <c r="F1031" s="512"/>
      <c r="G1031" s="512">
        <v>21320</v>
      </c>
      <c r="H1031" s="512" t="s">
        <v>270</v>
      </c>
      <c r="I1031" s="512"/>
      <c r="J1031" s="512" t="s">
        <v>198</v>
      </c>
      <c r="K1031" s="512" t="b">
        <v>0</v>
      </c>
      <c r="L1031" s="512">
        <v>2</v>
      </c>
      <c r="M1031" s="513">
        <v>2024</v>
      </c>
      <c r="N1031" s="514">
        <v>0</v>
      </c>
      <c r="O1031" s="515">
        <v>44620</v>
      </c>
      <c r="P1031" s="515">
        <v>44620</v>
      </c>
      <c r="Q1031" s="516">
        <v>0</v>
      </c>
    </row>
    <row r="1032" spans="1:17" ht="16.5">
      <c r="A1032" s="9">
        <v>2022</v>
      </c>
      <c r="B1032" s="10" t="s">
        <v>748</v>
      </c>
      <c r="C1032" s="511" t="s">
        <v>749</v>
      </c>
      <c r="D1032" s="512">
        <v>218000</v>
      </c>
      <c r="E1032" s="512">
        <v>0</v>
      </c>
      <c r="F1032" s="512"/>
      <c r="G1032" s="512">
        <v>21320</v>
      </c>
      <c r="H1032" s="512" t="s">
        <v>270</v>
      </c>
      <c r="I1032" s="512"/>
      <c r="J1032" s="512" t="s">
        <v>198</v>
      </c>
      <c r="K1032" s="512" t="b">
        <v>0</v>
      </c>
      <c r="L1032" s="512">
        <v>5</v>
      </c>
      <c r="M1032" s="513">
        <v>2027</v>
      </c>
      <c r="N1032" s="514">
        <v>0</v>
      </c>
      <c r="O1032" s="515">
        <v>44620</v>
      </c>
      <c r="P1032" s="515">
        <v>44620</v>
      </c>
      <c r="Q1032" s="516">
        <v>0</v>
      </c>
    </row>
    <row r="1033" spans="1:17" ht="16.5">
      <c r="A1033" s="9">
        <v>2022</v>
      </c>
      <c r="B1033" s="10" t="s">
        <v>748</v>
      </c>
      <c r="C1033" s="511" t="s">
        <v>749</v>
      </c>
      <c r="D1033" s="512">
        <v>218000</v>
      </c>
      <c r="E1033" s="512">
        <v>0</v>
      </c>
      <c r="F1033" s="512"/>
      <c r="G1033" s="512">
        <v>21320</v>
      </c>
      <c r="H1033" s="512" t="s">
        <v>270</v>
      </c>
      <c r="I1033" s="512"/>
      <c r="J1033" s="512" t="s">
        <v>198</v>
      </c>
      <c r="K1033" s="512" t="b">
        <v>0</v>
      </c>
      <c r="L1033" s="512">
        <v>4</v>
      </c>
      <c r="M1033" s="513">
        <v>2026</v>
      </c>
      <c r="N1033" s="514">
        <v>0</v>
      </c>
      <c r="O1033" s="515">
        <v>44620</v>
      </c>
      <c r="P1033" s="515">
        <v>44620</v>
      </c>
      <c r="Q1033" s="516">
        <v>0</v>
      </c>
    </row>
    <row r="1034" spans="1:17" ht="16.5">
      <c r="A1034" s="9">
        <v>2022</v>
      </c>
      <c r="B1034" s="10" t="s">
        <v>748</v>
      </c>
      <c r="C1034" s="511" t="s">
        <v>749</v>
      </c>
      <c r="D1034" s="512">
        <v>218000</v>
      </c>
      <c r="E1034" s="512">
        <v>0</v>
      </c>
      <c r="F1034" s="512"/>
      <c r="G1034" s="512">
        <v>21320</v>
      </c>
      <c r="H1034" s="512" t="s">
        <v>270</v>
      </c>
      <c r="I1034" s="512"/>
      <c r="J1034" s="512" t="s">
        <v>198</v>
      </c>
      <c r="K1034" s="512" t="b">
        <v>0</v>
      </c>
      <c r="L1034" s="512">
        <v>3</v>
      </c>
      <c r="M1034" s="513">
        <v>2025</v>
      </c>
      <c r="N1034" s="514">
        <v>0</v>
      </c>
      <c r="O1034" s="515">
        <v>44620</v>
      </c>
      <c r="P1034" s="515">
        <v>44620</v>
      </c>
      <c r="Q1034" s="516">
        <v>0</v>
      </c>
    </row>
    <row r="1035" spans="1:17" ht="16.5">
      <c r="A1035" s="9">
        <v>2022</v>
      </c>
      <c r="B1035" s="10" t="s">
        <v>748</v>
      </c>
      <c r="C1035" s="511" t="s">
        <v>749</v>
      </c>
      <c r="D1035" s="512">
        <v>218000</v>
      </c>
      <c r="E1035" s="512">
        <v>0</v>
      </c>
      <c r="F1035" s="512"/>
      <c r="G1035" s="512">
        <v>21320</v>
      </c>
      <c r="H1035" s="512" t="s">
        <v>270</v>
      </c>
      <c r="I1035" s="512"/>
      <c r="J1035" s="512" t="s">
        <v>198</v>
      </c>
      <c r="K1035" s="512" t="b">
        <v>0</v>
      </c>
      <c r="L1035" s="512">
        <v>10</v>
      </c>
      <c r="M1035" s="513">
        <v>2032</v>
      </c>
      <c r="N1035" s="514">
        <v>0</v>
      </c>
      <c r="O1035" s="515">
        <v>44620</v>
      </c>
      <c r="P1035" s="515">
        <v>44620</v>
      </c>
      <c r="Q1035" s="516">
        <v>0</v>
      </c>
    </row>
    <row r="1036" spans="1:17" ht="16.5">
      <c r="A1036" s="9">
        <v>2022</v>
      </c>
      <c r="B1036" s="10" t="s">
        <v>748</v>
      </c>
      <c r="C1036" s="511" t="s">
        <v>749</v>
      </c>
      <c r="D1036" s="512">
        <v>218000</v>
      </c>
      <c r="E1036" s="512">
        <v>0</v>
      </c>
      <c r="F1036" s="512"/>
      <c r="G1036" s="512">
        <v>21320</v>
      </c>
      <c r="H1036" s="512" t="s">
        <v>270</v>
      </c>
      <c r="I1036" s="512"/>
      <c r="J1036" s="512" t="s">
        <v>198</v>
      </c>
      <c r="K1036" s="512" t="b">
        <v>0</v>
      </c>
      <c r="L1036" s="512">
        <v>1</v>
      </c>
      <c r="M1036" s="513">
        <v>2023</v>
      </c>
      <c r="N1036" s="514">
        <v>0</v>
      </c>
      <c r="O1036" s="515">
        <v>44620</v>
      </c>
      <c r="P1036" s="515">
        <v>44620</v>
      </c>
      <c r="Q1036" s="516">
        <v>0</v>
      </c>
    </row>
    <row r="1037" spans="1:17" ht="16.5">
      <c r="A1037" s="9">
        <v>2022</v>
      </c>
      <c r="B1037" s="10" t="s">
        <v>748</v>
      </c>
      <c r="C1037" s="511" t="s">
        <v>749</v>
      </c>
      <c r="D1037" s="512">
        <v>218000</v>
      </c>
      <c r="E1037" s="512">
        <v>0</v>
      </c>
      <c r="F1037" s="512"/>
      <c r="G1037" s="512">
        <v>21320</v>
      </c>
      <c r="H1037" s="512" t="s">
        <v>270</v>
      </c>
      <c r="I1037" s="512"/>
      <c r="J1037" s="512" t="s">
        <v>198</v>
      </c>
      <c r="K1037" s="512" t="b">
        <v>0</v>
      </c>
      <c r="L1037" s="512">
        <v>11</v>
      </c>
      <c r="M1037" s="513">
        <v>2033</v>
      </c>
      <c r="N1037" s="514">
        <v>0</v>
      </c>
      <c r="O1037" s="515">
        <v>44620</v>
      </c>
      <c r="P1037" s="515">
        <v>44620</v>
      </c>
      <c r="Q1037" s="516">
        <v>0</v>
      </c>
    </row>
    <row r="1038" spans="1:17" ht="16.5">
      <c r="A1038" s="9">
        <v>2022</v>
      </c>
      <c r="B1038" s="10" t="s">
        <v>748</v>
      </c>
      <c r="C1038" s="511" t="s">
        <v>749</v>
      </c>
      <c r="D1038" s="512">
        <v>218000</v>
      </c>
      <c r="E1038" s="512">
        <v>0</v>
      </c>
      <c r="F1038" s="512"/>
      <c r="G1038" s="512">
        <v>21320</v>
      </c>
      <c r="H1038" s="512" t="s">
        <v>270</v>
      </c>
      <c r="I1038" s="512"/>
      <c r="J1038" s="512" t="s">
        <v>198</v>
      </c>
      <c r="K1038" s="512" t="b">
        <v>0</v>
      </c>
      <c r="L1038" s="512">
        <v>0</v>
      </c>
      <c r="M1038" s="513">
        <v>2022</v>
      </c>
      <c r="N1038" s="514">
        <v>0</v>
      </c>
      <c r="O1038" s="515">
        <v>44620</v>
      </c>
      <c r="P1038" s="515">
        <v>44620</v>
      </c>
      <c r="Q1038" s="516">
        <v>0</v>
      </c>
    </row>
    <row r="1039" spans="1:17" ht="16.5">
      <c r="A1039" s="9">
        <v>2022</v>
      </c>
      <c r="B1039" s="10" t="s">
        <v>748</v>
      </c>
      <c r="C1039" s="511" t="s">
        <v>749</v>
      </c>
      <c r="D1039" s="512">
        <v>218000</v>
      </c>
      <c r="E1039" s="512">
        <v>0</v>
      </c>
      <c r="F1039" s="512"/>
      <c r="G1039" s="512">
        <v>107210</v>
      </c>
      <c r="H1039" s="512" t="s">
        <v>295</v>
      </c>
      <c r="I1039" s="512"/>
      <c r="J1039" s="512" t="s">
        <v>256</v>
      </c>
      <c r="K1039" s="512" t="b">
        <v>1</v>
      </c>
      <c r="L1039" s="512">
        <v>11</v>
      </c>
      <c r="M1039" s="513">
        <v>2033</v>
      </c>
      <c r="N1039" s="514">
        <v>0</v>
      </c>
      <c r="O1039" s="515">
        <v>44620</v>
      </c>
      <c r="P1039" s="515">
        <v>44620</v>
      </c>
      <c r="Q1039" s="516">
        <v>0</v>
      </c>
    </row>
    <row r="1040" spans="1:17" ht="16.5">
      <c r="A1040" s="9">
        <v>2022</v>
      </c>
      <c r="B1040" s="10" t="s">
        <v>748</v>
      </c>
      <c r="C1040" s="511" t="s">
        <v>749</v>
      </c>
      <c r="D1040" s="512">
        <v>218000</v>
      </c>
      <c r="E1040" s="512">
        <v>0</v>
      </c>
      <c r="F1040" s="512"/>
      <c r="G1040" s="512">
        <v>107210</v>
      </c>
      <c r="H1040" s="512" t="s">
        <v>295</v>
      </c>
      <c r="I1040" s="512"/>
      <c r="J1040" s="512" t="s">
        <v>256</v>
      </c>
      <c r="K1040" s="512" t="b">
        <v>1</v>
      </c>
      <c r="L1040" s="512">
        <v>2</v>
      </c>
      <c r="M1040" s="513">
        <v>2024</v>
      </c>
      <c r="N1040" s="514">
        <v>0</v>
      </c>
      <c r="O1040" s="515">
        <v>44620</v>
      </c>
      <c r="P1040" s="515">
        <v>44620</v>
      </c>
      <c r="Q1040" s="516">
        <v>0</v>
      </c>
    </row>
    <row r="1041" spans="1:17" ht="16.5">
      <c r="A1041" s="9">
        <v>2022</v>
      </c>
      <c r="B1041" s="10" t="s">
        <v>748</v>
      </c>
      <c r="C1041" s="511" t="s">
        <v>749</v>
      </c>
      <c r="D1041" s="512">
        <v>218000</v>
      </c>
      <c r="E1041" s="512">
        <v>0</v>
      </c>
      <c r="F1041" s="512"/>
      <c r="G1041" s="512">
        <v>107210</v>
      </c>
      <c r="H1041" s="512" t="s">
        <v>295</v>
      </c>
      <c r="I1041" s="512"/>
      <c r="J1041" s="512" t="s">
        <v>256</v>
      </c>
      <c r="K1041" s="512" t="b">
        <v>1</v>
      </c>
      <c r="L1041" s="512">
        <v>3</v>
      </c>
      <c r="M1041" s="513">
        <v>2025</v>
      </c>
      <c r="N1041" s="514">
        <v>0</v>
      </c>
      <c r="O1041" s="515">
        <v>44620</v>
      </c>
      <c r="P1041" s="515">
        <v>44620</v>
      </c>
      <c r="Q1041" s="516">
        <v>0</v>
      </c>
    </row>
    <row r="1042" spans="1:17" ht="16.5">
      <c r="A1042" s="9">
        <v>2022</v>
      </c>
      <c r="B1042" s="10" t="s">
        <v>748</v>
      </c>
      <c r="C1042" s="511" t="s">
        <v>749</v>
      </c>
      <c r="D1042" s="512">
        <v>218000</v>
      </c>
      <c r="E1042" s="512">
        <v>0</v>
      </c>
      <c r="F1042" s="512"/>
      <c r="G1042" s="512">
        <v>107210</v>
      </c>
      <c r="H1042" s="512" t="s">
        <v>295</v>
      </c>
      <c r="I1042" s="512"/>
      <c r="J1042" s="512" t="s">
        <v>256</v>
      </c>
      <c r="K1042" s="512" t="b">
        <v>1</v>
      </c>
      <c r="L1042" s="512">
        <v>9</v>
      </c>
      <c r="M1042" s="513">
        <v>2031</v>
      </c>
      <c r="N1042" s="514">
        <v>0</v>
      </c>
      <c r="O1042" s="515">
        <v>44620</v>
      </c>
      <c r="P1042" s="515">
        <v>44620</v>
      </c>
      <c r="Q1042" s="516">
        <v>0</v>
      </c>
    </row>
    <row r="1043" spans="1:17" ht="16.5">
      <c r="A1043" s="9">
        <v>2022</v>
      </c>
      <c r="B1043" s="10" t="s">
        <v>748</v>
      </c>
      <c r="C1043" s="511" t="s">
        <v>749</v>
      </c>
      <c r="D1043" s="512">
        <v>218000</v>
      </c>
      <c r="E1043" s="512">
        <v>0</v>
      </c>
      <c r="F1043" s="512"/>
      <c r="G1043" s="512">
        <v>107210</v>
      </c>
      <c r="H1043" s="512" t="s">
        <v>295</v>
      </c>
      <c r="I1043" s="512"/>
      <c r="J1043" s="512" t="s">
        <v>256</v>
      </c>
      <c r="K1043" s="512" t="b">
        <v>1</v>
      </c>
      <c r="L1043" s="512">
        <v>10</v>
      </c>
      <c r="M1043" s="513">
        <v>2032</v>
      </c>
      <c r="N1043" s="514">
        <v>0</v>
      </c>
      <c r="O1043" s="515">
        <v>44620</v>
      </c>
      <c r="P1043" s="515">
        <v>44620</v>
      </c>
      <c r="Q1043" s="516">
        <v>0</v>
      </c>
    </row>
    <row r="1044" spans="1:17" ht="16.5">
      <c r="A1044" s="9">
        <v>2022</v>
      </c>
      <c r="B1044" s="10" t="s">
        <v>748</v>
      </c>
      <c r="C1044" s="511" t="s">
        <v>749</v>
      </c>
      <c r="D1044" s="512">
        <v>218000</v>
      </c>
      <c r="E1044" s="512">
        <v>0</v>
      </c>
      <c r="F1044" s="512"/>
      <c r="G1044" s="512">
        <v>107210</v>
      </c>
      <c r="H1044" s="512" t="s">
        <v>295</v>
      </c>
      <c r="I1044" s="512"/>
      <c r="J1044" s="512" t="s">
        <v>256</v>
      </c>
      <c r="K1044" s="512" t="b">
        <v>1</v>
      </c>
      <c r="L1044" s="512">
        <v>1</v>
      </c>
      <c r="M1044" s="513">
        <v>2023</v>
      </c>
      <c r="N1044" s="514">
        <v>0</v>
      </c>
      <c r="O1044" s="515">
        <v>44620</v>
      </c>
      <c r="P1044" s="515">
        <v>44620</v>
      </c>
      <c r="Q1044" s="516">
        <v>0</v>
      </c>
    </row>
    <row r="1045" spans="1:17" ht="16.5">
      <c r="A1045" s="9">
        <v>2022</v>
      </c>
      <c r="B1045" s="10" t="s">
        <v>748</v>
      </c>
      <c r="C1045" s="511" t="s">
        <v>749</v>
      </c>
      <c r="D1045" s="512">
        <v>218000</v>
      </c>
      <c r="E1045" s="512">
        <v>0</v>
      </c>
      <c r="F1045" s="512"/>
      <c r="G1045" s="512">
        <v>107210</v>
      </c>
      <c r="H1045" s="512" t="s">
        <v>295</v>
      </c>
      <c r="I1045" s="512"/>
      <c r="J1045" s="512" t="s">
        <v>256</v>
      </c>
      <c r="K1045" s="512" t="b">
        <v>1</v>
      </c>
      <c r="L1045" s="512">
        <v>0</v>
      </c>
      <c r="M1045" s="513">
        <v>2022</v>
      </c>
      <c r="N1045" s="514">
        <v>0</v>
      </c>
      <c r="O1045" s="515">
        <v>44620</v>
      </c>
      <c r="P1045" s="515">
        <v>44620</v>
      </c>
      <c r="Q1045" s="516">
        <v>0</v>
      </c>
    </row>
    <row r="1046" spans="1:17" ht="16.5">
      <c r="A1046" s="9">
        <v>2022</v>
      </c>
      <c r="B1046" s="10" t="s">
        <v>748</v>
      </c>
      <c r="C1046" s="511" t="s">
        <v>749</v>
      </c>
      <c r="D1046" s="512">
        <v>218000</v>
      </c>
      <c r="E1046" s="512">
        <v>0</v>
      </c>
      <c r="F1046" s="512"/>
      <c r="G1046" s="512">
        <v>107210</v>
      </c>
      <c r="H1046" s="512" t="s">
        <v>295</v>
      </c>
      <c r="I1046" s="512"/>
      <c r="J1046" s="512" t="s">
        <v>256</v>
      </c>
      <c r="K1046" s="512" t="b">
        <v>1</v>
      </c>
      <c r="L1046" s="512">
        <v>7</v>
      </c>
      <c r="M1046" s="513">
        <v>2029</v>
      </c>
      <c r="N1046" s="514">
        <v>0</v>
      </c>
      <c r="O1046" s="515">
        <v>44620</v>
      </c>
      <c r="P1046" s="515">
        <v>44620</v>
      </c>
      <c r="Q1046" s="516">
        <v>0</v>
      </c>
    </row>
    <row r="1047" spans="1:17" ht="16.5">
      <c r="A1047" s="9">
        <v>2022</v>
      </c>
      <c r="B1047" s="10" t="s">
        <v>748</v>
      </c>
      <c r="C1047" s="511" t="s">
        <v>749</v>
      </c>
      <c r="D1047" s="512">
        <v>218000</v>
      </c>
      <c r="E1047" s="512">
        <v>0</v>
      </c>
      <c r="F1047" s="512"/>
      <c r="G1047" s="512">
        <v>107210</v>
      </c>
      <c r="H1047" s="512" t="s">
        <v>295</v>
      </c>
      <c r="I1047" s="512"/>
      <c r="J1047" s="512" t="s">
        <v>256</v>
      </c>
      <c r="K1047" s="512" t="b">
        <v>1</v>
      </c>
      <c r="L1047" s="512">
        <v>5</v>
      </c>
      <c r="M1047" s="513">
        <v>2027</v>
      </c>
      <c r="N1047" s="514">
        <v>0</v>
      </c>
      <c r="O1047" s="515">
        <v>44620</v>
      </c>
      <c r="P1047" s="515">
        <v>44620</v>
      </c>
      <c r="Q1047" s="516">
        <v>0</v>
      </c>
    </row>
    <row r="1048" spans="1:17" ht="16.5">
      <c r="A1048" s="9">
        <v>2022</v>
      </c>
      <c r="B1048" s="10" t="s">
        <v>748</v>
      </c>
      <c r="C1048" s="511" t="s">
        <v>749</v>
      </c>
      <c r="D1048" s="512">
        <v>218000</v>
      </c>
      <c r="E1048" s="512">
        <v>0</v>
      </c>
      <c r="F1048" s="512"/>
      <c r="G1048" s="512">
        <v>107210</v>
      </c>
      <c r="H1048" s="512" t="s">
        <v>295</v>
      </c>
      <c r="I1048" s="512"/>
      <c r="J1048" s="512" t="s">
        <v>256</v>
      </c>
      <c r="K1048" s="512" t="b">
        <v>1</v>
      </c>
      <c r="L1048" s="512">
        <v>4</v>
      </c>
      <c r="M1048" s="513">
        <v>2026</v>
      </c>
      <c r="N1048" s="514">
        <v>0</v>
      </c>
      <c r="O1048" s="515">
        <v>44620</v>
      </c>
      <c r="P1048" s="515">
        <v>44620</v>
      </c>
      <c r="Q1048" s="516">
        <v>0</v>
      </c>
    </row>
    <row r="1049" spans="1:17" ht="16.5">
      <c r="A1049" s="9">
        <v>2022</v>
      </c>
      <c r="B1049" s="10" t="s">
        <v>748</v>
      </c>
      <c r="C1049" s="511" t="s">
        <v>749</v>
      </c>
      <c r="D1049" s="512">
        <v>218000</v>
      </c>
      <c r="E1049" s="512">
        <v>0</v>
      </c>
      <c r="F1049" s="512"/>
      <c r="G1049" s="512">
        <v>107210</v>
      </c>
      <c r="H1049" s="512" t="s">
        <v>295</v>
      </c>
      <c r="I1049" s="512"/>
      <c r="J1049" s="512" t="s">
        <v>256</v>
      </c>
      <c r="K1049" s="512" t="b">
        <v>1</v>
      </c>
      <c r="L1049" s="512">
        <v>8</v>
      </c>
      <c r="M1049" s="513">
        <v>2030</v>
      </c>
      <c r="N1049" s="514">
        <v>0</v>
      </c>
      <c r="O1049" s="515">
        <v>44620</v>
      </c>
      <c r="P1049" s="515">
        <v>44620</v>
      </c>
      <c r="Q1049" s="516">
        <v>0</v>
      </c>
    </row>
    <row r="1050" spans="1:17" ht="16.5">
      <c r="A1050" s="9">
        <v>2022</v>
      </c>
      <c r="B1050" s="10" t="s">
        <v>748</v>
      </c>
      <c r="C1050" s="511" t="s">
        <v>749</v>
      </c>
      <c r="D1050" s="512">
        <v>218000</v>
      </c>
      <c r="E1050" s="512">
        <v>0</v>
      </c>
      <c r="F1050" s="512"/>
      <c r="G1050" s="512">
        <v>107210</v>
      </c>
      <c r="H1050" s="512" t="s">
        <v>295</v>
      </c>
      <c r="I1050" s="512"/>
      <c r="J1050" s="512" t="s">
        <v>256</v>
      </c>
      <c r="K1050" s="512" t="b">
        <v>1</v>
      </c>
      <c r="L1050" s="512">
        <v>6</v>
      </c>
      <c r="M1050" s="513">
        <v>2028</v>
      </c>
      <c r="N1050" s="514">
        <v>0</v>
      </c>
      <c r="O1050" s="515">
        <v>44620</v>
      </c>
      <c r="P1050" s="515">
        <v>44620</v>
      </c>
      <c r="Q1050" s="516">
        <v>0</v>
      </c>
    </row>
    <row r="1051" spans="1:17" ht="16.5">
      <c r="A1051" s="9">
        <v>2022</v>
      </c>
      <c r="B1051" s="10" t="s">
        <v>748</v>
      </c>
      <c r="C1051" s="511" t="s">
        <v>749</v>
      </c>
      <c r="D1051" s="512">
        <v>218000</v>
      </c>
      <c r="E1051" s="512">
        <v>0</v>
      </c>
      <c r="F1051" s="512"/>
      <c r="G1051" s="512">
        <v>122000</v>
      </c>
      <c r="H1051" s="512">
        <v>12.2</v>
      </c>
      <c r="I1051" s="512" t="s">
        <v>771</v>
      </c>
      <c r="J1051" s="512" t="s">
        <v>783</v>
      </c>
      <c r="K1051" s="512" t="b">
        <v>1</v>
      </c>
      <c r="L1051" s="512">
        <v>8</v>
      </c>
      <c r="M1051" s="513">
        <v>2030</v>
      </c>
      <c r="N1051" s="514">
        <v>0</v>
      </c>
      <c r="O1051" s="515">
        <v>44620</v>
      </c>
      <c r="P1051" s="515">
        <v>44620</v>
      </c>
      <c r="Q1051" s="516">
        <v>0</v>
      </c>
    </row>
    <row r="1052" spans="1:17" ht="16.5">
      <c r="A1052" s="9">
        <v>2022</v>
      </c>
      <c r="B1052" s="10" t="s">
        <v>748</v>
      </c>
      <c r="C1052" s="511" t="s">
        <v>749</v>
      </c>
      <c r="D1052" s="512">
        <v>218000</v>
      </c>
      <c r="E1052" s="512">
        <v>0</v>
      </c>
      <c r="F1052" s="512"/>
      <c r="G1052" s="512">
        <v>122000</v>
      </c>
      <c r="H1052" s="512">
        <v>12.2</v>
      </c>
      <c r="I1052" s="512" t="s">
        <v>771</v>
      </c>
      <c r="J1052" s="512" t="s">
        <v>783</v>
      </c>
      <c r="K1052" s="512" t="b">
        <v>1</v>
      </c>
      <c r="L1052" s="512">
        <v>5</v>
      </c>
      <c r="M1052" s="513">
        <v>2027</v>
      </c>
      <c r="N1052" s="514">
        <v>0</v>
      </c>
      <c r="O1052" s="515">
        <v>44620</v>
      </c>
      <c r="P1052" s="515">
        <v>44620</v>
      </c>
      <c r="Q1052" s="516">
        <v>0</v>
      </c>
    </row>
    <row r="1053" spans="1:17" ht="16.5">
      <c r="A1053" s="9">
        <v>2022</v>
      </c>
      <c r="B1053" s="10" t="s">
        <v>748</v>
      </c>
      <c r="C1053" s="511" t="s">
        <v>749</v>
      </c>
      <c r="D1053" s="512">
        <v>218000</v>
      </c>
      <c r="E1053" s="512">
        <v>0</v>
      </c>
      <c r="F1053" s="512"/>
      <c r="G1053" s="512">
        <v>122000</v>
      </c>
      <c r="H1053" s="512">
        <v>12.2</v>
      </c>
      <c r="I1053" s="512" t="s">
        <v>771</v>
      </c>
      <c r="J1053" s="512" t="s">
        <v>783</v>
      </c>
      <c r="K1053" s="512" t="b">
        <v>1</v>
      </c>
      <c r="L1053" s="512">
        <v>1</v>
      </c>
      <c r="M1053" s="513">
        <v>2023</v>
      </c>
      <c r="N1053" s="514">
        <v>0</v>
      </c>
      <c r="O1053" s="515">
        <v>44620</v>
      </c>
      <c r="P1053" s="515">
        <v>44620</v>
      </c>
      <c r="Q1053" s="516">
        <v>0</v>
      </c>
    </row>
    <row r="1054" spans="1:17" ht="16.5">
      <c r="A1054" s="9">
        <v>2022</v>
      </c>
      <c r="B1054" s="10" t="s">
        <v>748</v>
      </c>
      <c r="C1054" s="511" t="s">
        <v>749</v>
      </c>
      <c r="D1054" s="512">
        <v>218000</v>
      </c>
      <c r="E1054" s="512">
        <v>0</v>
      </c>
      <c r="F1054" s="512"/>
      <c r="G1054" s="512">
        <v>122000</v>
      </c>
      <c r="H1054" s="512">
        <v>12.2</v>
      </c>
      <c r="I1054" s="512" t="s">
        <v>771</v>
      </c>
      <c r="J1054" s="512" t="s">
        <v>783</v>
      </c>
      <c r="K1054" s="512" t="b">
        <v>1</v>
      </c>
      <c r="L1054" s="512">
        <v>2</v>
      </c>
      <c r="M1054" s="513">
        <v>2024</v>
      </c>
      <c r="N1054" s="514">
        <v>0</v>
      </c>
      <c r="O1054" s="515">
        <v>44620</v>
      </c>
      <c r="P1054" s="515">
        <v>44620</v>
      </c>
      <c r="Q1054" s="516">
        <v>0</v>
      </c>
    </row>
    <row r="1055" spans="1:17" ht="16.5">
      <c r="A1055" s="9">
        <v>2022</v>
      </c>
      <c r="B1055" s="10" t="s">
        <v>748</v>
      </c>
      <c r="C1055" s="511" t="s">
        <v>749</v>
      </c>
      <c r="D1055" s="512">
        <v>218000</v>
      </c>
      <c r="E1055" s="512">
        <v>0</v>
      </c>
      <c r="F1055" s="512"/>
      <c r="G1055" s="512">
        <v>122000</v>
      </c>
      <c r="H1055" s="512">
        <v>12.2</v>
      </c>
      <c r="I1055" s="512" t="s">
        <v>771</v>
      </c>
      <c r="J1055" s="512" t="s">
        <v>783</v>
      </c>
      <c r="K1055" s="512" t="b">
        <v>1</v>
      </c>
      <c r="L1055" s="512">
        <v>9</v>
      </c>
      <c r="M1055" s="513">
        <v>2031</v>
      </c>
      <c r="N1055" s="514">
        <v>0</v>
      </c>
      <c r="O1055" s="515">
        <v>44620</v>
      </c>
      <c r="P1055" s="515">
        <v>44620</v>
      </c>
      <c r="Q1055" s="516">
        <v>0</v>
      </c>
    </row>
    <row r="1056" spans="1:17" ht="16.5">
      <c r="A1056" s="9">
        <v>2022</v>
      </c>
      <c r="B1056" s="10" t="s">
        <v>748</v>
      </c>
      <c r="C1056" s="511" t="s">
        <v>749</v>
      </c>
      <c r="D1056" s="512">
        <v>218000</v>
      </c>
      <c r="E1056" s="512">
        <v>0</v>
      </c>
      <c r="F1056" s="512"/>
      <c r="G1056" s="512">
        <v>122000</v>
      </c>
      <c r="H1056" s="512">
        <v>12.2</v>
      </c>
      <c r="I1056" s="512" t="s">
        <v>771</v>
      </c>
      <c r="J1056" s="512" t="s">
        <v>783</v>
      </c>
      <c r="K1056" s="512" t="b">
        <v>1</v>
      </c>
      <c r="L1056" s="512">
        <v>4</v>
      </c>
      <c r="M1056" s="513">
        <v>2026</v>
      </c>
      <c r="N1056" s="514">
        <v>0</v>
      </c>
      <c r="O1056" s="515">
        <v>44620</v>
      </c>
      <c r="P1056" s="515">
        <v>44620</v>
      </c>
      <c r="Q1056" s="516">
        <v>0</v>
      </c>
    </row>
    <row r="1057" spans="1:17" ht="16.5">
      <c r="A1057" s="9">
        <v>2022</v>
      </c>
      <c r="B1057" s="10" t="s">
        <v>748</v>
      </c>
      <c r="C1057" s="511" t="s">
        <v>749</v>
      </c>
      <c r="D1057" s="512">
        <v>218000</v>
      </c>
      <c r="E1057" s="512">
        <v>0</v>
      </c>
      <c r="F1057" s="512"/>
      <c r="G1057" s="512">
        <v>122000</v>
      </c>
      <c r="H1057" s="512">
        <v>12.2</v>
      </c>
      <c r="I1057" s="512" t="s">
        <v>771</v>
      </c>
      <c r="J1057" s="512" t="s">
        <v>783</v>
      </c>
      <c r="K1057" s="512" t="b">
        <v>1</v>
      </c>
      <c r="L1057" s="512">
        <v>7</v>
      </c>
      <c r="M1057" s="513">
        <v>2029</v>
      </c>
      <c r="N1057" s="514">
        <v>0</v>
      </c>
      <c r="O1057" s="515">
        <v>44620</v>
      </c>
      <c r="P1057" s="515">
        <v>44620</v>
      </c>
      <c r="Q1057" s="516">
        <v>0</v>
      </c>
    </row>
    <row r="1058" spans="1:17" ht="16.5">
      <c r="A1058" s="9">
        <v>2022</v>
      </c>
      <c r="B1058" s="10" t="s">
        <v>748</v>
      </c>
      <c r="C1058" s="511" t="s">
        <v>749</v>
      </c>
      <c r="D1058" s="512">
        <v>218000</v>
      </c>
      <c r="E1058" s="512">
        <v>0</v>
      </c>
      <c r="F1058" s="512"/>
      <c r="G1058" s="512">
        <v>122000</v>
      </c>
      <c r="H1058" s="512">
        <v>12.2</v>
      </c>
      <c r="I1058" s="512" t="s">
        <v>771</v>
      </c>
      <c r="J1058" s="512" t="s">
        <v>783</v>
      </c>
      <c r="K1058" s="512" t="b">
        <v>1</v>
      </c>
      <c r="L1058" s="512">
        <v>6</v>
      </c>
      <c r="M1058" s="513">
        <v>2028</v>
      </c>
      <c r="N1058" s="514">
        <v>0</v>
      </c>
      <c r="O1058" s="515">
        <v>44620</v>
      </c>
      <c r="P1058" s="515">
        <v>44620</v>
      </c>
      <c r="Q1058" s="516">
        <v>0</v>
      </c>
    </row>
    <row r="1059" spans="1:17" ht="16.5">
      <c r="A1059" s="9">
        <v>2022</v>
      </c>
      <c r="B1059" s="10" t="s">
        <v>748</v>
      </c>
      <c r="C1059" s="511" t="s">
        <v>749</v>
      </c>
      <c r="D1059" s="512">
        <v>218000</v>
      </c>
      <c r="E1059" s="512">
        <v>0</v>
      </c>
      <c r="F1059" s="512"/>
      <c r="G1059" s="512">
        <v>122000</v>
      </c>
      <c r="H1059" s="512">
        <v>12.2</v>
      </c>
      <c r="I1059" s="512" t="s">
        <v>771</v>
      </c>
      <c r="J1059" s="512" t="s">
        <v>783</v>
      </c>
      <c r="K1059" s="512" t="b">
        <v>1</v>
      </c>
      <c r="L1059" s="512">
        <v>3</v>
      </c>
      <c r="M1059" s="513">
        <v>2025</v>
      </c>
      <c r="N1059" s="514">
        <v>0</v>
      </c>
      <c r="O1059" s="515">
        <v>44620</v>
      </c>
      <c r="P1059" s="515">
        <v>44620</v>
      </c>
      <c r="Q1059" s="516">
        <v>0</v>
      </c>
    </row>
    <row r="1060" spans="1:17" ht="16.5">
      <c r="A1060" s="9">
        <v>2022</v>
      </c>
      <c r="B1060" s="10" t="s">
        <v>748</v>
      </c>
      <c r="C1060" s="511" t="s">
        <v>749</v>
      </c>
      <c r="D1060" s="512">
        <v>218000</v>
      </c>
      <c r="E1060" s="512">
        <v>0</v>
      </c>
      <c r="F1060" s="512"/>
      <c r="G1060" s="512">
        <v>122000</v>
      </c>
      <c r="H1060" s="512">
        <v>12.2</v>
      </c>
      <c r="I1060" s="512" t="s">
        <v>771</v>
      </c>
      <c r="J1060" s="512" t="s">
        <v>783</v>
      </c>
      <c r="K1060" s="512" t="b">
        <v>1</v>
      </c>
      <c r="L1060" s="512">
        <v>11</v>
      </c>
      <c r="M1060" s="513">
        <v>2033</v>
      </c>
      <c r="N1060" s="514">
        <v>0</v>
      </c>
      <c r="O1060" s="515">
        <v>44620</v>
      </c>
      <c r="P1060" s="515">
        <v>44620</v>
      </c>
      <c r="Q1060" s="516">
        <v>0</v>
      </c>
    </row>
    <row r="1061" spans="1:17" ht="16.5">
      <c r="A1061" s="9">
        <v>2022</v>
      </c>
      <c r="B1061" s="10" t="s">
        <v>748</v>
      </c>
      <c r="C1061" s="511" t="s">
        <v>749</v>
      </c>
      <c r="D1061" s="512">
        <v>218000</v>
      </c>
      <c r="E1061" s="512">
        <v>0</v>
      </c>
      <c r="F1061" s="512"/>
      <c r="G1061" s="512">
        <v>122000</v>
      </c>
      <c r="H1061" s="512">
        <v>12.2</v>
      </c>
      <c r="I1061" s="512" t="s">
        <v>771</v>
      </c>
      <c r="J1061" s="512" t="s">
        <v>783</v>
      </c>
      <c r="K1061" s="512" t="b">
        <v>1</v>
      </c>
      <c r="L1061" s="512">
        <v>0</v>
      </c>
      <c r="M1061" s="513">
        <v>2022</v>
      </c>
      <c r="N1061" s="514">
        <v>0</v>
      </c>
      <c r="O1061" s="515">
        <v>44620</v>
      </c>
      <c r="P1061" s="515">
        <v>44620</v>
      </c>
      <c r="Q1061" s="516">
        <v>0</v>
      </c>
    </row>
    <row r="1062" spans="1:17" ht="16.5">
      <c r="A1062" s="9">
        <v>2022</v>
      </c>
      <c r="B1062" s="10" t="s">
        <v>748</v>
      </c>
      <c r="C1062" s="511" t="s">
        <v>749</v>
      </c>
      <c r="D1062" s="512">
        <v>218000</v>
      </c>
      <c r="E1062" s="512">
        <v>0</v>
      </c>
      <c r="F1062" s="512"/>
      <c r="G1062" s="512">
        <v>122000</v>
      </c>
      <c r="H1062" s="512">
        <v>12.2</v>
      </c>
      <c r="I1062" s="512" t="s">
        <v>771</v>
      </c>
      <c r="J1062" s="512" t="s">
        <v>783</v>
      </c>
      <c r="K1062" s="512" t="b">
        <v>1</v>
      </c>
      <c r="L1062" s="512">
        <v>10</v>
      </c>
      <c r="M1062" s="513">
        <v>2032</v>
      </c>
      <c r="N1062" s="514">
        <v>0</v>
      </c>
      <c r="O1062" s="515">
        <v>44620</v>
      </c>
      <c r="P1062" s="515">
        <v>44620</v>
      </c>
      <c r="Q1062" s="516">
        <v>0</v>
      </c>
    </row>
    <row r="1063" spans="1:17" ht="16.5">
      <c r="A1063" s="9">
        <v>2022</v>
      </c>
      <c r="B1063" s="10" t="s">
        <v>748</v>
      </c>
      <c r="C1063" s="511" t="s">
        <v>749</v>
      </c>
      <c r="D1063" s="512">
        <v>218000</v>
      </c>
      <c r="E1063" s="512">
        <v>0</v>
      </c>
      <c r="F1063" s="512"/>
      <c r="G1063" s="512">
        <v>11510</v>
      </c>
      <c r="H1063" s="512" t="s">
        <v>268</v>
      </c>
      <c r="I1063" s="512"/>
      <c r="J1063" s="512" t="s">
        <v>188</v>
      </c>
      <c r="K1063" s="512" t="b">
        <v>1</v>
      </c>
      <c r="L1063" s="512">
        <v>8</v>
      </c>
      <c r="M1063" s="513">
        <v>2030</v>
      </c>
      <c r="N1063" s="514">
        <v>0</v>
      </c>
      <c r="O1063" s="515">
        <v>44620</v>
      </c>
      <c r="P1063" s="515">
        <v>44620</v>
      </c>
      <c r="Q1063" s="516">
        <v>0</v>
      </c>
    </row>
    <row r="1064" spans="1:17" ht="16.5">
      <c r="A1064" s="9">
        <v>2022</v>
      </c>
      <c r="B1064" s="10" t="s">
        <v>748</v>
      </c>
      <c r="C1064" s="511" t="s">
        <v>749</v>
      </c>
      <c r="D1064" s="512">
        <v>218000</v>
      </c>
      <c r="E1064" s="512">
        <v>0</v>
      </c>
      <c r="F1064" s="512"/>
      <c r="G1064" s="512">
        <v>11510</v>
      </c>
      <c r="H1064" s="512" t="s">
        <v>268</v>
      </c>
      <c r="I1064" s="512"/>
      <c r="J1064" s="512" t="s">
        <v>188</v>
      </c>
      <c r="K1064" s="512" t="b">
        <v>1</v>
      </c>
      <c r="L1064" s="512">
        <v>10</v>
      </c>
      <c r="M1064" s="513">
        <v>2032</v>
      </c>
      <c r="N1064" s="514">
        <v>0</v>
      </c>
      <c r="O1064" s="515">
        <v>44620</v>
      </c>
      <c r="P1064" s="515">
        <v>44620</v>
      </c>
      <c r="Q1064" s="516">
        <v>0</v>
      </c>
    </row>
    <row r="1065" spans="1:17" ht="16.5">
      <c r="A1065" s="9">
        <v>2022</v>
      </c>
      <c r="B1065" s="10" t="s">
        <v>748</v>
      </c>
      <c r="C1065" s="511" t="s">
        <v>749</v>
      </c>
      <c r="D1065" s="512">
        <v>218000</v>
      </c>
      <c r="E1065" s="512">
        <v>0</v>
      </c>
      <c r="F1065" s="512"/>
      <c r="G1065" s="512">
        <v>11510</v>
      </c>
      <c r="H1065" s="512" t="s">
        <v>268</v>
      </c>
      <c r="I1065" s="512"/>
      <c r="J1065" s="512" t="s">
        <v>188</v>
      </c>
      <c r="K1065" s="512" t="b">
        <v>1</v>
      </c>
      <c r="L1065" s="512">
        <v>4</v>
      </c>
      <c r="M1065" s="513">
        <v>2026</v>
      </c>
      <c r="N1065" s="514">
        <v>0</v>
      </c>
      <c r="O1065" s="515">
        <v>44620</v>
      </c>
      <c r="P1065" s="515">
        <v>44620</v>
      </c>
      <c r="Q1065" s="516">
        <v>0</v>
      </c>
    </row>
    <row r="1066" spans="1:17" ht="16.5">
      <c r="A1066" s="9">
        <v>2022</v>
      </c>
      <c r="B1066" s="10" t="s">
        <v>748</v>
      </c>
      <c r="C1066" s="511" t="s">
        <v>749</v>
      </c>
      <c r="D1066" s="512">
        <v>218000</v>
      </c>
      <c r="E1066" s="512">
        <v>0</v>
      </c>
      <c r="F1066" s="512"/>
      <c r="G1066" s="512">
        <v>11510</v>
      </c>
      <c r="H1066" s="512" t="s">
        <v>268</v>
      </c>
      <c r="I1066" s="512"/>
      <c r="J1066" s="512" t="s">
        <v>188</v>
      </c>
      <c r="K1066" s="512" t="b">
        <v>1</v>
      </c>
      <c r="L1066" s="512">
        <v>9</v>
      </c>
      <c r="M1066" s="513">
        <v>2031</v>
      </c>
      <c r="N1066" s="514">
        <v>0</v>
      </c>
      <c r="O1066" s="515">
        <v>44620</v>
      </c>
      <c r="P1066" s="515">
        <v>44620</v>
      </c>
      <c r="Q1066" s="516">
        <v>0</v>
      </c>
    </row>
    <row r="1067" spans="1:17" ht="16.5">
      <c r="A1067" s="9">
        <v>2022</v>
      </c>
      <c r="B1067" s="10" t="s">
        <v>748</v>
      </c>
      <c r="C1067" s="511" t="s">
        <v>749</v>
      </c>
      <c r="D1067" s="512">
        <v>218000</v>
      </c>
      <c r="E1067" s="512">
        <v>0</v>
      </c>
      <c r="F1067" s="512"/>
      <c r="G1067" s="512">
        <v>11510</v>
      </c>
      <c r="H1067" s="512" t="s">
        <v>268</v>
      </c>
      <c r="I1067" s="512"/>
      <c r="J1067" s="512" t="s">
        <v>188</v>
      </c>
      <c r="K1067" s="512" t="b">
        <v>1</v>
      </c>
      <c r="L1067" s="512">
        <v>11</v>
      </c>
      <c r="M1067" s="513">
        <v>2033</v>
      </c>
      <c r="N1067" s="514">
        <v>0</v>
      </c>
      <c r="O1067" s="515">
        <v>44620</v>
      </c>
      <c r="P1067" s="515">
        <v>44620</v>
      </c>
      <c r="Q1067" s="516">
        <v>0</v>
      </c>
    </row>
    <row r="1068" spans="1:17" ht="16.5">
      <c r="A1068" s="9">
        <v>2022</v>
      </c>
      <c r="B1068" s="10" t="s">
        <v>748</v>
      </c>
      <c r="C1068" s="511" t="s">
        <v>749</v>
      </c>
      <c r="D1068" s="512">
        <v>218000</v>
      </c>
      <c r="E1068" s="512">
        <v>0</v>
      </c>
      <c r="F1068" s="512"/>
      <c r="G1068" s="512">
        <v>11510</v>
      </c>
      <c r="H1068" s="512" t="s">
        <v>268</v>
      </c>
      <c r="I1068" s="512"/>
      <c r="J1068" s="512" t="s">
        <v>188</v>
      </c>
      <c r="K1068" s="512" t="b">
        <v>1</v>
      </c>
      <c r="L1068" s="512">
        <v>7</v>
      </c>
      <c r="M1068" s="513">
        <v>2029</v>
      </c>
      <c r="N1068" s="514">
        <v>0</v>
      </c>
      <c r="O1068" s="515">
        <v>44620</v>
      </c>
      <c r="P1068" s="515">
        <v>44620</v>
      </c>
      <c r="Q1068" s="516">
        <v>0</v>
      </c>
    </row>
    <row r="1069" spans="1:17" ht="16.5">
      <c r="A1069" s="9">
        <v>2022</v>
      </c>
      <c r="B1069" s="10" t="s">
        <v>748</v>
      </c>
      <c r="C1069" s="511" t="s">
        <v>749</v>
      </c>
      <c r="D1069" s="512">
        <v>218000</v>
      </c>
      <c r="E1069" s="512">
        <v>0</v>
      </c>
      <c r="F1069" s="512"/>
      <c r="G1069" s="512">
        <v>11510</v>
      </c>
      <c r="H1069" s="512" t="s">
        <v>268</v>
      </c>
      <c r="I1069" s="512"/>
      <c r="J1069" s="512" t="s">
        <v>188</v>
      </c>
      <c r="K1069" s="512" t="b">
        <v>1</v>
      </c>
      <c r="L1069" s="512">
        <v>0</v>
      </c>
      <c r="M1069" s="513">
        <v>2022</v>
      </c>
      <c r="N1069" s="514">
        <v>0</v>
      </c>
      <c r="O1069" s="515">
        <v>44620</v>
      </c>
      <c r="P1069" s="515">
        <v>44620</v>
      </c>
      <c r="Q1069" s="516">
        <v>0</v>
      </c>
    </row>
    <row r="1070" spans="1:17" ht="16.5">
      <c r="A1070" s="9">
        <v>2022</v>
      </c>
      <c r="B1070" s="10" t="s">
        <v>748</v>
      </c>
      <c r="C1070" s="511" t="s">
        <v>749</v>
      </c>
      <c r="D1070" s="512">
        <v>218000</v>
      </c>
      <c r="E1070" s="512">
        <v>0</v>
      </c>
      <c r="F1070" s="512"/>
      <c r="G1070" s="512">
        <v>11510</v>
      </c>
      <c r="H1070" s="512" t="s">
        <v>268</v>
      </c>
      <c r="I1070" s="512"/>
      <c r="J1070" s="512" t="s">
        <v>188</v>
      </c>
      <c r="K1070" s="512" t="b">
        <v>1</v>
      </c>
      <c r="L1070" s="512">
        <v>5</v>
      </c>
      <c r="M1070" s="513">
        <v>2027</v>
      </c>
      <c r="N1070" s="514">
        <v>0</v>
      </c>
      <c r="O1070" s="515">
        <v>44620</v>
      </c>
      <c r="P1070" s="515">
        <v>44620</v>
      </c>
      <c r="Q1070" s="516">
        <v>0</v>
      </c>
    </row>
    <row r="1071" spans="1:17" ht="16.5">
      <c r="A1071" s="9">
        <v>2022</v>
      </c>
      <c r="B1071" s="10" t="s">
        <v>748</v>
      </c>
      <c r="C1071" s="511" t="s">
        <v>749</v>
      </c>
      <c r="D1071" s="512">
        <v>218000</v>
      </c>
      <c r="E1071" s="512">
        <v>0</v>
      </c>
      <c r="F1071" s="512"/>
      <c r="G1071" s="512">
        <v>11510</v>
      </c>
      <c r="H1071" s="512" t="s">
        <v>268</v>
      </c>
      <c r="I1071" s="512"/>
      <c r="J1071" s="512" t="s">
        <v>188</v>
      </c>
      <c r="K1071" s="512" t="b">
        <v>1</v>
      </c>
      <c r="L1071" s="512">
        <v>3</v>
      </c>
      <c r="M1071" s="513">
        <v>2025</v>
      </c>
      <c r="N1071" s="514">
        <v>0</v>
      </c>
      <c r="O1071" s="515">
        <v>44620</v>
      </c>
      <c r="P1071" s="515">
        <v>44620</v>
      </c>
      <c r="Q1071" s="516">
        <v>0</v>
      </c>
    </row>
    <row r="1072" spans="1:17" ht="16.5">
      <c r="A1072" s="9">
        <v>2022</v>
      </c>
      <c r="B1072" s="10" t="s">
        <v>748</v>
      </c>
      <c r="C1072" s="511" t="s">
        <v>749</v>
      </c>
      <c r="D1072" s="512">
        <v>218000</v>
      </c>
      <c r="E1072" s="512">
        <v>0</v>
      </c>
      <c r="F1072" s="512"/>
      <c r="G1072" s="512">
        <v>11510</v>
      </c>
      <c r="H1072" s="512" t="s">
        <v>268</v>
      </c>
      <c r="I1072" s="512"/>
      <c r="J1072" s="512" t="s">
        <v>188</v>
      </c>
      <c r="K1072" s="512" t="b">
        <v>1</v>
      </c>
      <c r="L1072" s="512">
        <v>2</v>
      </c>
      <c r="M1072" s="513">
        <v>2024</v>
      </c>
      <c r="N1072" s="514">
        <v>0</v>
      </c>
      <c r="O1072" s="515">
        <v>44620</v>
      </c>
      <c r="P1072" s="515">
        <v>44620</v>
      </c>
      <c r="Q1072" s="516">
        <v>0</v>
      </c>
    </row>
    <row r="1073" spans="1:17" ht="16.5">
      <c r="A1073" s="9">
        <v>2022</v>
      </c>
      <c r="B1073" s="10" t="s">
        <v>748</v>
      </c>
      <c r="C1073" s="511" t="s">
        <v>749</v>
      </c>
      <c r="D1073" s="512">
        <v>218000</v>
      </c>
      <c r="E1073" s="512">
        <v>0</v>
      </c>
      <c r="F1073" s="512"/>
      <c r="G1073" s="512">
        <v>11510</v>
      </c>
      <c r="H1073" s="512" t="s">
        <v>268</v>
      </c>
      <c r="I1073" s="512"/>
      <c r="J1073" s="512" t="s">
        <v>188</v>
      </c>
      <c r="K1073" s="512" t="b">
        <v>1</v>
      </c>
      <c r="L1073" s="512">
        <v>6</v>
      </c>
      <c r="M1073" s="513">
        <v>2028</v>
      </c>
      <c r="N1073" s="514">
        <v>0</v>
      </c>
      <c r="O1073" s="515">
        <v>44620</v>
      </c>
      <c r="P1073" s="515">
        <v>44620</v>
      </c>
      <c r="Q1073" s="516">
        <v>0</v>
      </c>
    </row>
    <row r="1074" spans="1:17" ht="16.5">
      <c r="A1074" s="9">
        <v>2022</v>
      </c>
      <c r="B1074" s="10" t="s">
        <v>748</v>
      </c>
      <c r="C1074" s="511" t="s">
        <v>749</v>
      </c>
      <c r="D1074" s="512">
        <v>218000</v>
      </c>
      <c r="E1074" s="512">
        <v>0</v>
      </c>
      <c r="F1074" s="512"/>
      <c r="G1074" s="512">
        <v>11510</v>
      </c>
      <c r="H1074" s="512" t="s">
        <v>268</v>
      </c>
      <c r="I1074" s="512"/>
      <c r="J1074" s="512" t="s">
        <v>188</v>
      </c>
      <c r="K1074" s="512" t="b">
        <v>1</v>
      </c>
      <c r="L1074" s="512">
        <v>1</v>
      </c>
      <c r="M1074" s="513">
        <v>2023</v>
      </c>
      <c r="N1074" s="514">
        <v>0</v>
      </c>
      <c r="O1074" s="515">
        <v>44620</v>
      </c>
      <c r="P1074" s="515">
        <v>44620</v>
      </c>
      <c r="Q1074" s="516">
        <v>0</v>
      </c>
    </row>
    <row r="1075" spans="1:17" ht="16.5">
      <c r="A1075" s="9">
        <v>2022</v>
      </c>
      <c r="B1075" s="10" t="s">
        <v>748</v>
      </c>
      <c r="C1075" s="511" t="s">
        <v>749</v>
      </c>
      <c r="D1075" s="512">
        <v>218000</v>
      </c>
      <c r="E1075" s="512">
        <v>0</v>
      </c>
      <c r="F1075" s="512"/>
      <c r="G1075" s="512">
        <v>81220</v>
      </c>
      <c r="H1075" s="512" t="s">
        <v>277</v>
      </c>
      <c r="I1075" s="512" t="s">
        <v>755</v>
      </c>
      <c r="J1075" s="512" t="s">
        <v>224</v>
      </c>
      <c r="K1075" s="512" t="b">
        <v>1</v>
      </c>
      <c r="L1075" s="512">
        <v>2</v>
      </c>
      <c r="M1075" s="513">
        <v>2024</v>
      </c>
      <c r="N1075" s="514">
        <v>6.2199999999999998E-2</v>
      </c>
      <c r="O1075" s="515">
        <v>44620</v>
      </c>
      <c r="P1075" s="515">
        <v>44620</v>
      </c>
      <c r="Q1075" s="516">
        <v>0</v>
      </c>
    </row>
    <row r="1076" spans="1:17" ht="16.5">
      <c r="A1076" s="9">
        <v>2022</v>
      </c>
      <c r="B1076" s="10" t="s">
        <v>748</v>
      </c>
      <c r="C1076" s="511" t="s">
        <v>749</v>
      </c>
      <c r="D1076" s="512">
        <v>218000</v>
      </c>
      <c r="E1076" s="512">
        <v>0</v>
      </c>
      <c r="F1076" s="512"/>
      <c r="G1076" s="512">
        <v>81220</v>
      </c>
      <c r="H1076" s="512" t="s">
        <v>277</v>
      </c>
      <c r="I1076" s="512" t="s">
        <v>755</v>
      </c>
      <c r="J1076" s="512" t="s">
        <v>224</v>
      </c>
      <c r="K1076" s="512" t="b">
        <v>1</v>
      </c>
      <c r="L1076" s="512">
        <v>11</v>
      </c>
      <c r="M1076" s="513">
        <v>2033</v>
      </c>
      <c r="N1076" s="514">
        <v>3.4799999999999998E-2</v>
      </c>
      <c r="O1076" s="515">
        <v>44620</v>
      </c>
      <c r="P1076" s="515">
        <v>44620</v>
      </c>
      <c r="Q1076" s="516">
        <v>0</v>
      </c>
    </row>
    <row r="1077" spans="1:17" ht="16.5">
      <c r="A1077" s="9">
        <v>2022</v>
      </c>
      <c r="B1077" s="10" t="s">
        <v>748</v>
      </c>
      <c r="C1077" s="511" t="s">
        <v>749</v>
      </c>
      <c r="D1077" s="512">
        <v>218000</v>
      </c>
      <c r="E1077" s="512">
        <v>0</v>
      </c>
      <c r="F1077" s="512"/>
      <c r="G1077" s="512">
        <v>81220</v>
      </c>
      <c r="H1077" s="512" t="s">
        <v>277</v>
      </c>
      <c r="I1077" s="512" t="s">
        <v>755</v>
      </c>
      <c r="J1077" s="512" t="s">
        <v>224</v>
      </c>
      <c r="K1077" s="512" t="b">
        <v>1</v>
      </c>
      <c r="L1077" s="512">
        <v>9</v>
      </c>
      <c r="M1077" s="513">
        <v>2031</v>
      </c>
      <c r="N1077" s="514">
        <v>3.3799999999999997E-2</v>
      </c>
      <c r="O1077" s="515">
        <v>44620</v>
      </c>
      <c r="P1077" s="515">
        <v>44620</v>
      </c>
      <c r="Q1077" s="516">
        <v>0</v>
      </c>
    </row>
    <row r="1078" spans="1:17" ht="16.5">
      <c r="A1078" s="9">
        <v>2022</v>
      </c>
      <c r="B1078" s="10" t="s">
        <v>748</v>
      </c>
      <c r="C1078" s="511" t="s">
        <v>749</v>
      </c>
      <c r="D1078" s="512">
        <v>218000</v>
      </c>
      <c r="E1078" s="512">
        <v>0</v>
      </c>
      <c r="F1078" s="512"/>
      <c r="G1078" s="512">
        <v>81220</v>
      </c>
      <c r="H1078" s="512" t="s">
        <v>277</v>
      </c>
      <c r="I1078" s="512" t="s">
        <v>755</v>
      </c>
      <c r="J1078" s="512" t="s">
        <v>224</v>
      </c>
      <c r="K1078" s="512" t="b">
        <v>1</v>
      </c>
      <c r="L1078" s="512">
        <v>3</v>
      </c>
      <c r="M1078" s="513">
        <v>2025</v>
      </c>
      <c r="N1078" s="514">
        <v>6.0699999999999997E-2</v>
      </c>
      <c r="O1078" s="515">
        <v>44620</v>
      </c>
      <c r="P1078" s="515">
        <v>44620</v>
      </c>
      <c r="Q1078" s="516">
        <v>0</v>
      </c>
    </row>
    <row r="1079" spans="1:17" ht="16.5">
      <c r="A1079" s="9">
        <v>2022</v>
      </c>
      <c r="B1079" s="10" t="s">
        <v>748</v>
      </c>
      <c r="C1079" s="511" t="s">
        <v>749</v>
      </c>
      <c r="D1079" s="512">
        <v>218000</v>
      </c>
      <c r="E1079" s="512">
        <v>0</v>
      </c>
      <c r="F1079" s="512"/>
      <c r="G1079" s="512">
        <v>81220</v>
      </c>
      <c r="H1079" s="512" t="s">
        <v>277</v>
      </c>
      <c r="I1079" s="512" t="s">
        <v>755</v>
      </c>
      <c r="J1079" s="512" t="s">
        <v>224</v>
      </c>
      <c r="K1079" s="512" t="b">
        <v>1</v>
      </c>
      <c r="L1079" s="512">
        <v>4</v>
      </c>
      <c r="M1079" s="513">
        <v>2026</v>
      </c>
      <c r="N1079" s="514">
        <v>5.7099999999999998E-2</v>
      </c>
      <c r="O1079" s="515">
        <v>44620</v>
      </c>
      <c r="P1079" s="515">
        <v>44620</v>
      </c>
      <c r="Q1079" s="516">
        <v>0</v>
      </c>
    </row>
    <row r="1080" spans="1:17" ht="16.5">
      <c r="A1080" s="9">
        <v>2022</v>
      </c>
      <c r="B1080" s="10" t="s">
        <v>748</v>
      </c>
      <c r="C1080" s="511" t="s">
        <v>749</v>
      </c>
      <c r="D1080" s="512">
        <v>218000</v>
      </c>
      <c r="E1080" s="512">
        <v>0</v>
      </c>
      <c r="F1080" s="512"/>
      <c r="G1080" s="512">
        <v>81220</v>
      </c>
      <c r="H1080" s="512" t="s">
        <v>277</v>
      </c>
      <c r="I1080" s="512" t="s">
        <v>755</v>
      </c>
      <c r="J1080" s="512" t="s">
        <v>224</v>
      </c>
      <c r="K1080" s="512" t="b">
        <v>1</v>
      </c>
      <c r="L1080" s="512">
        <v>6</v>
      </c>
      <c r="M1080" s="513">
        <v>2028</v>
      </c>
      <c r="N1080" s="514">
        <v>3.95E-2</v>
      </c>
      <c r="O1080" s="515">
        <v>44620</v>
      </c>
      <c r="P1080" s="515">
        <v>44620</v>
      </c>
      <c r="Q1080" s="516">
        <v>0</v>
      </c>
    </row>
    <row r="1081" spans="1:17" ht="16.5">
      <c r="A1081" s="9">
        <v>2022</v>
      </c>
      <c r="B1081" s="10" t="s">
        <v>748</v>
      </c>
      <c r="C1081" s="511" t="s">
        <v>749</v>
      </c>
      <c r="D1081" s="512">
        <v>218000</v>
      </c>
      <c r="E1081" s="512">
        <v>0</v>
      </c>
      <c r="F1081" s="512"/>
      <c r="G1081" s="512">
        <v>81220</v>
      </c>
      <c r="H1081" s="512" t="s">
        <v>277</v>
      </c>
      <c r="I1081" s="512" t="s">
        <v>755</v>
      </c>
      <c r="J1081" s="512" t="s">
        <v>224</v>
      </c>
      <c r="K1081" s="512" t="b">
        <v>1</v>
      </c>
      <c r="L1081" s="512">
        <v>8</v>
      </c>
      <c r="M1081" s="513">
        <v>2030</v>
      </c>
      <c r="N1081" s="514">
        <v>3.5499999999999997E-2</v>
      </c>
      <c r="O1081" s="515">
        <v>44620</v>
      </c>
      <c r="P1081" s="515">
        <v>44620</v>
      </c>
      <c r="Q1081" s="516">
        <v>0</v>
      </c>
    </row>
    <row r="1082" spans="1:17" ht="16.5">
      <c r="A1082" s="9">
        <v>2022</v>
      </c>
      <c r="B1082" s="10" t="s">
        <v>748</v>
      </c>
      <c r="C1082" s="511" t="s">
        <v>749</v>
      </c>
      <c r="D1082" s="512">
        <v>218000</v>
      </c>
      <c r="E1082" s="512">
        <v>0</v>
      </c>
      <c r="F1082" s="512"/>
      <c r="G1082" s="512">
        <v>81220</v>
      </c>
      <c r="H1082" s="512" t="s">
        <v>277</v>
      </c>
      <c r="I1082" s="512" t="s">
        <v>755</v>
      </c>
      <c r="J1082" s="512" t="s">
        <v>224</v>
      </c>
      <c r="K1082" s="512" t="b">
        <v>1</v>
      </c>
      <c r="L1082" s="512">
        <v>5</v>
      </c>
      <c r="M1082" s="513">
        <v>2027</v>
      </c>
      <c r="N1082" s="514">
        <v>5.3699999999999998E-2</v>
      </c>
      <c r="O1082" s="515">
        <v>44620</v>
      </c>
      <c r="P1082" s="515">
        <v>44620</v>
      </c>
      <c r="Q1082" s="516">
        <v>0</v>
      </c>
    </row>
    <row r="1083" spans="1:17" ht="16.5">
      <c r="A1083" s="9">
        <v>2022</v>
      </c>
      <c r="B1083" s="10" t="s">
        <v>748</v>
      </c>
      <c r="C1083" s="511" t="s">
        <v>749</v>
      </c>
      <c r="D1083" s="512">
        <v>218000</v>
      </c>
      <c r="E1083" s="512">
        <v>0</v>
      </c>
      <c r="F1083" s="512"/>
      <c r="G1083" s="512">
        <v>81220</v>
      </c>
      <c r="H1083" s="512" t="s">
        <v>277</v>
      </c>
      <c r="I1083" s="512" t="s">
        <v>755</v>
      </c>
      <c r="J1083" s="512" t="s">
        <v>224</v>
      </c>
      <c r="K1083" s="512" t="b">
        <v>1</v>
      </c>
      <c r="L1083" s="512">
        <v>0</v>
      </c>
      <c r="M1083" s="513">
        <v>2022</v>
      </c>
      <c r="N1083" s="514">
        <v>9.7999999999999997E-3</v>
      </c>
      <c r="O1083" s="515">
        <v>44620</v>
      </c>
      <c r="P1083" s="515">
        <v>44620</v>
      </c>
      <c r="Q1083" s="516">
        <v>0</v>
      </c>
    </row>
    <row r="1084" spans="1:17" ht="16.5">
      <c r="A1084" s="9">
        <v>2022</v>
      </c>
      <c r="B1084" s="10" t="s">
        <v>748</v>
      </c>
      <c r="C1084" s="511" t="s">
        <v>749</v>
      </c>
      <c r="D1084" s="512">
        <v>218000</v>
      </c>
      <c r="E1084" s="512">
        <v>0</v>
      </c>
      <c r="F1084" s="512"/>
      <c r="G1084" s="512">
        <v>81220</v>
      </c>
      <c r="H1084" s="512" t="s">
        <v>277</v>
      </c>
      <c r="I1084" s="512" t="s">
        <v>755</v>
      </c>
      <c r="J1084" s="512" t="s">
        <v>224</v>
      </c>
      <c r="K1084" s="512" t="b">
        <v>1</v>
      </c>
      <c r="L1084" s="512">
        <v>1</v>
      </c>
      <c r="M1084" s="513">
        <v>2023</v>
      </c>
      <c r="N1084" s="514">
        <v>6.83E-2</v>
      </c>
      <c r="O1084" s="515">
        <v>44620</v>
      </c>
      <c r="P1084" s="515">
        <v>44620</v>
      </c>
      <c r="Q1084" s="516">
        <v>0</v>
      </c>
    </row>
    <row r="1085" spans="1:17" ht="16.5">
      <c r="A1085" s="9">
        <v>2022</v>
      </c>
      <c r="B1085" s="10" t="s">
        <v>748</v>
      </c>
      <c r="C1085" s="511" t="s">
        <v>749</v>
      </c>
      <c r="D1085" s="512">
        <v>218000</v>
      </c>
      <c r="E1085" s="512">
        <v>0</v>
      </c>
      <c r="F1085" s="512"/>
      <c r="G1085" s="512">
        <v>81220</v>
      </c>
      <c r="H1085" s="512" t="s">
        <v>277</v>
      </c>
      <c r="I1085" s="512" t="s">
        <v>755</v>
      </c>
      <c r="J1085" s="512" t="s">
        <v>224</v>
      </c>
      <c r="K1085" s="512" t="b">
        <v>1</v>
      </c>
      <c r="L1085" s="512">
        <v>10</v>
      </c>
      <c r="M1085" s="513">
        <v>2032</v>
      </c>
      <c r="N1085" s="514">
        <v>3.6999999999999998E-2</v>
      </c>
      <c r="O1085" s="515">
        <v>44620</v>
      </c>
      <c r="P1085" s="515">
        <v>44620</v>
      </c>
      <c r="Q1085" s="516">
        <v>0</v>
      </c>
    </row>
    <row r="1086" spans="1:17" ht="16.5">
      <c r="A1086" s="9">
        <v>2022</v>
      </c>
      <c r="B1086" s="10" t="s">
        <v>748</v>
      </c>
      <c r="C1086" s="511" t="s">
        <v>749</v>
      </c>
      <c r="D1086" s="512">
        <v>218000</v>
      </c>
      <c r="E1086" s="512">
        <v>0</v>
      </c>
      <c r="F1086" s="512"/>
      <c r="G1086" s="512">
        <v>81220</v>
      </c>
      <c r="H1086" s="512" t="s">
        <v>277</v>
      </c>
      <c r="I1086" s="512" t="s">
        <v>755</v>
      </c>
      <c r="J1086" s="512" t="s">
        <v>224</v>
      </c>
      <c r="K1086" s="512" t="b">
        <v>1</v>
      </c>
      <c r="L1086" s="512">
        <v>7</v>
      </c>
      <c r="M1086" s="513">
        <v>2029</v>
      </c>
      <c r="N1086" s="514">
        <v>3.7400000000000003E-2</v>
      </c>
      <c r="O1086" s="515">
        <v>44620</v>
      </c>
      <c r="P1086" s="515">
        <v>44620</v>
      </c>
      <c r="Q1086" s="516">
        <v>0</v>
      </c>
    </row>
    <row r="1087" spans="1:17" ht="16.5">
      <c r="A1087" s="9">
        <v>2022</v>
      </c>
      <c r="B1087" s="10" t="s">
        <v>748</v>
      </c>
      <c r="C1087" s="511" t="s">
        <v>749</v>
      </c>
      <c r="D1087" s="512">
        <v>218000</v>
      </c>
      <c r="E1087" s="512">
        <v>0</v>
      </c>
      <c r="F1087" s="512"/>
      <c r="G1087" s="512">
        <v>11100</v>
      </c>
      <c r="H1087" s="512" t="s">
        <v>32</v>
      </c>
      <c r="I1087" s="512"/>
      <c r="J1087" s="512" t="s">
        <v>183</v>
      </c>
      <c r="K1087" s="512" t="b">
        <v>1</v>
      </c>
      <c r="L1087" s="512">
        <v>9</v>
      </c>
      <c r="M1087" s="513">
        <v>2031</v>
      </c>
      <c r="N1087" s="514">
        <v>20262083</v>
      </c>
      <c r="O1087" s="515">
        <v>44620</v>
      </c>
      <c r="P1087" s="515">
        <v>44620</v>
      </c>
      <c r="Q1087" s="516">
        <v>0</v>
      </c>
    </row>
    <row r="1088" spans="1:17" ht="16.5">
      <c r="A1088" s="9">
        <v>2022</v>
      </c>
      <c r="B1088" s="10" t="s">
        <v>748</v>
      </c>
      <c r="C1088" s="511" t="s">
        <v>749</v>
      </c>
      <c r="D1088" s="512">
        <v>218000</v>
      </c>
      <c r="E1088" s="512">
        <v>0</v>
      </c>
      <c r="F1088" s="512"/>
      <c r="G1088" s="512">
        <v>11100</v>
      </c>
      <c r="H1088" s="512" t="s">
        <v>32</v>
      </c>
      <c r="I1088" s="512"/>
      <c r="J1088" s="512" t="s">
        <v>183</v>
      </c>
      <c r="K1088" s="512" t="b">
        <v>1</v>
      </c>
      <c r="L1088" s="512">
        <v>7</v>
      </c>
      <c r="M1088" s="513">
        <v>2029</v>
      </c>
      <c r="N1088" s="514">
        <v>19154710</v>
      </c>
      <c r="O1088" s="515">
        <v>44620</v>
      </c>
      <c r="P1088" s="515">
        <v>44620</v>
      </c>
      <c r="Q1088" s="516">
        <v>0</v>
      </c>
    </row>
    <row r="1089" spans="1:17" ht="16.5">
      <c r="A1089" s="9">
        <v>2022</v>
      </c>
      <c r="B1089" s="10" t="s">
        <v>748</v>
      </c>
      <c r="C1089" s="511" t="s">
        <v>749</v>
      </c>
      <c r="D1089" s="512">
        <v>218000</v>
      </c>
      <c r="E1089" s="512">
        <v>0</v>
      </c>
      <c r="F1089" s="512"/>
      <c r="G1089" s="512">
        <v>11100</v>
      </c>
      <c r="H1089" s="512" t="s">
        <v>32</v>
      </c>
      <c r="I1089" s="512"/>
      <c r="J1089" s="512" t="s">
        <v>183</v>
      </c>
      <c r="K1089" s="512" t="b">
        <v>1</v>
      </c>
      <c r="L1089" s="512">
        <v>0</v>
      </c>
      <c r="M1089" s="513">
        <v>2022</v>
      </c>
      <c r="N1089" s="514">
        <v>15128514</v>
      </c>
      <c r="O1089" s="515">
        <v>44620</v>
      </c>
      <c r="P1089" s="515">
        <v>44620</v>
      </c>
      <c r="Q1089" s="516">
        <v>0</v>
      </c>
    </row>
    <row r="1090" spans="1:17" ht="16.5">
      <c r="A1090" s="9">
        <v>2022</v>
      </c>
      <c r="B1090" s="10" t="s">
        <v>748</v>
      </c>
      <c r="C1090" s="511" t="s">
        <v>749</v>
      </c>
      <c r="D1090" s="512">
        <v>218000</v>
      </c>
      <c r="E1090" s="512">
        <v>0</v>
      </c>
      <c r="F1090" s="512"/>
      <c r="G1090" s="512">
        <v>11100</v>
      </c>
      <c r="H1090" s="512" t="s">
        <v>32</v>
      </c>
      <c r="I1090" s="512"/>
      <c r="J1090" s="512" t="s">
        <v>183</v>
      </c>
      <c r="K1090" s="512" t="b">
        <v>1</v>
      </c>
      <c r="L1090" s="512">
        <v>8</v>
      </c>
      <c r="M1090" s="513">
        <v>2030</v>
      </c>
      <c r="N1090" s="514">
        <v>19710197</v>
      </c>
      <c r="O1090" s="515">
        <v>44620</v>
      </c>
      <c r="P1090" s="515">
        <v>44620</v>
      </c>
      <c r="Q1090" s="516">
        <v>0</v>
      </c>
    </row>
    <row r="1091" spans="1:17" ht="16.5">
      <c r="A1091" s="9">
        <v>2022</v>
      </c>
      <c r="B1091" s="10" t="s">
        <v>748</v>
      </c>
      <c r="C1091" s="511" t="s">
        <v>749</v>
      </c>
      <c r="D1091" s="512">
        <v>218000</v>
      </c>
      <c r="E1091" s="512">
        <v>0</v>
      </c>
      <c r="F1091" s="512"/>
      <c r="G1091" s="512">
        <v>11100</v>
      </c>
      <c r="H1091" s="512" t="s">
        <v>32</v>
      </c>
      <c r="I1091" s="512"/>
      <c r="J1091" s="512" t="s">
        <v>183</v>
      </c>
      <c r="K1091" s="512" t="b">
        <v>1</v>
      </c>
      <c r="L1091" s="512">
        <v>11</v>
      </c>
      <c r="M1091" s="513">
        <v>2033</v>
      </c>
      <c r="N1091" s="514">
        <v>21350197</v>
      </c>
      <c r="O1091" s="515">
        <v>44620</v>
      </c>
      <c r="P1091" s="515">
        <v>44620</v>
      </c>
      <c r="Q1091" s="516">
        <v>0</v>
      </c>
    </row>
    <row r="1092" spans="1:17" ht="16.5">
      <c r="A1092" s="9">
        <v>2022</v>
      </c>
      <c r="B1092" s="10" t="s">
        <v>748</v>
      </c>
      <c r="C1092" s="511" t="s">
        <v>749</v>
      </c>
      <c r="D1092" s="512">
        <v>218000</v>
      </c>
      <c r="E1092" s="512">
        <v>0</v>
      </c>
      <c r="F1092" s="512"/>
      <c r="G1092" s="512">
        <v>11100</v>
      </c>
      <c r="H1092" s="512" t="s">
        <v>32</v>
      </c>
      <c r="I1092" s="512"/>
      <c r="J1092" s="512" t="s">
        <v>183</v>
      </c>
      <c r="K1092" s="512" t="b">
        <v>1</v>
      </c>
      <c r="L1092" s="512">
        <v>5</v>
      </c>
      <c r="M1092" s="513">
        <v>2027</v>
      </c>
      <c r="N1092" s="514">
        <v>17985255</v>
      </c>
      <c r="O1092" s="515">
        <v>44620</v>
      </c>
      <c r="P1092" s="515">
        <v>44620</v>
      </c>
      <c r="Q1092" s="516">
        <v>0</v>
      </c>
    </row>
    <row r="1093" spans="1:17" ht="16.5">
      <c r="A1093" s="9">
        <v>2022</v>
      </c>
      <c r="B1093" s="10" t="s">
        <v>748</v>
      </c>
      <c r="C1093" s="511" t="s">
        <v>749</v>
      </c>
      <c r="D1093" s="512">
        <v>218000</v>
      </c>
      <c r="E1093" s="512">
        <v>0</v>
      </c>
      <c r="F1093" s="512"/>
      <c r="G1093" s="512">
        <v>11100</v>
      </c>
      <c r="H1093" s="512" t="s">
        <v>32</v>
      </c>
      <c r="I1093" s="512"/>
      <c r="J1093" s="512" t="s">
        <v>183</v>
      </c>
      <c r="K1093" s="512" t="b">
        <v>1</v>
      </c>
      <c r="L1093" s="512">
        <v>2</v>
      </c>
      <c r="M1093" s="513">
        <v>2024</v>
      </c>
      <c r="N1093" s="514">
        <v>16237358</v>
      </c>
      <c r="O1093" s="515">
        <v>44620</v>
      </c>
      <c r="P1093" s="515">
        <v>44620</v>
      </c>
      <c r="Q1093" s="516">
        <v>0</v>
      </c>
    </row>
    <row r="1094" spans="1:17" ht="16.5">
      <c r="A1094" s="9">
        <v>2022</v>
      </c>
      <c r="B1094" s="10" t="s">
        <v>748</v>
      </c>
      <c r="C1094" s="511" t="s">
        <v>749</v>
      </c>
      <c r="D1094" s="512">
        <v>218000</v>
      </c>
      <c r="E1094" s="512">
        <v>0</v>
      </c>
      <c r="F1094" s="512"/>
      <c r="G1094" s="512">
        <v>11100</v>
      </c>
      <c r="H1094" s="512" t="s">
        <v>32</v>
      </c>
      <c r="I1094" s="512"/>
      <c r="J1094" s="512" t="s">
        <v>183</v>
      </c>
      <c r="K1094" s="512" t="b">
        <v>1</v>
      </c>
      <c r="L1094" s="512">
        <v>1</v>
      </c>
      <c r="M1094" s="513">
        <v>2023</v>
      </c>
      <c r="N1094" s="514">
        <v>15688269</v>
      </c>
      <c r="O1094" s="515">
        <v>44620</v>
      </c>
      <c r="P1094" s="515">
        <v>44620</v>
      </c>
      <c r="Q1094" s="516">
        <v>0</v>
      </c>
    </row>
    <row r="1095" spans="1:17" ht="16.5">
      <c r="A1095" s="9">
        <v>2022</v>
      </c>
      <c r="B1095" s="10" t="s">
        <v>748</v>
      </c>
      <c r="C1095" s="511" t="s">
        <v>749</v>
      </c>
      <c r="D1095" s="512">
        <v>218000</v>
      </c>
      <c r="E1095" s="512">
        <v>0</v>
      </c>
      <c r="F1095" s="512"/>
      <c r="G1095" s="512">
        <v>11100</v>
      </c>
      <c r="H1095" s="512" t="s">
        <v>32</v>
      </c>
      <c r="I1095" s="512"/>
      <c r="J1095" s="512" t="s">
        <v>183</v>
      </c>
      <c r="K1095" s="512" t="b">
        <v>1</v>
      </c>
      <c r="L1095" s="512">
        <v>6</v>
      </c>
      <c r="M1095" s="513">
        <v>2028</v>
      </c>
      <c r="N1095" s="514">
        <v>18578768</v>
      </c>
      <c r="O1095" s="515">
        <v>44620</v>
      </c>
      <c r="P1095" s="515">
        <v>44620</v>
      </c>
      <c r="Q1095" s="516">
        <v>0</v>
      </c>
    </row>
    <row r="1096" spans="1:17" ht="16.5">
      <c r="A1096" s="9">
        <v>2022</v>
      </c>
      <c r="B1096" s="10" t="s">
        <v>748</v>
      </c>
      <c r="C1096" s="511" t="s">
        <v>749</v>
      </c>
      <c r="D1096" s="512">
        <v>218000</v>
      </c>
      <c r="E1096" s="512">
        <v>0</v>
      </c>
      <c r="F1096" s="512"/>
      <c r="G1096" s="512">
        <v>11100</v>
      </c>
      <c r="H1096" s="512" t="s">
        <v>32</v>
      </c>
      <c r="I1096" s="512"/>
      <c r="J1096" s="512" t="s">
        <v>183</v>
      </c>
      <c r="K1096" s="512" t="b">
        <v>1</v>
      </c>
      <c r="L1096" s="512">
        <v>3</v>
      </c>
      <c r="M1096" s="513">
        <v>2025</v>
      </c>
      <c r="N1096" s="514">
        <v>16805666</v>
      </c>
      <c r="O1096" s="515">
        <v>44620</v>
      </c>
      <c r="P1096" s="515">
        <v>44620</v>
      </c>
      <c r="Q1096" s="516">
        <v>0</v>
      </c>
    </row>
    <row r="1097" spans="1:17" ht="16.5">
      <c r="A1097" s="9">
        <v>2022</v>
      </c>
      <c r="B1097" s="10" t="s">
        <v>748</v>
      </c>
      <c r="C1097" s="511" t="s">
        <v>749</v>
      </c>
      <c r="D1097" s="512">
        <v>218000</v>
      </c>
      <c r="E1097" s="512">
        <v>0</v>
      </c>
      <c r="F1097" s="512"/>
      <c r="G1097" s="512">
        <v>11100</v>
      </c>
      <c r="H1097" s="512" t="s">
        <v>32</v>
      </c>
      <c r="I1097" s="512"/>
      <c r="J1097" s="512" t="s">
        <v>183</v>
      </c>
      <c r="K1097" s="512" t="b">
        <v>1</v>
      </c>
      <c r="L1097" s="512">
        <v>4</v>
      </c>
      <c r="M1097" s="513">
        <v>2026</v>
      </c>
      <c r="N1097" s="514">
        <v>17393864</v>
      </c>
      <c r="O1097" s="515">
        <v>44620</v>
      </c>
      <c r="P1097" s="515">
        <v>44620</v>
      </c>
      <c r="Q1097" s="516">
        <v>0</v>
      </c>
    </row>
    <row r="1098" spans="1:17" ht="16.5">
      <c r="A1098" s="9">
        <v>2022</v>
      </c>
      <c r="B1098" s="10" t="s">
        <v>748</v>
      </c>
      <c r="C1098" s="511" t="s">
        <v>749</v>
      </c>
      <c r="D1098" s="512">
        <v>218000</v>
      </c>
      <c r="E1098" s="512">
        <v>0</v>
      </c>
      <c r="F1098" s="512"/>
      <c r="G1098" s="512">
        <v>11100</v>
      </c>
      <c r="H1098" s="512" t="s">
        <v>32</v>
      </c>
      <c r="I1098" s="512"/>
      <c r="J1098" s="512" t="s">
        <v>183</v>
      </c>
      <c r="K1098" s="512" t="b">
        <v>1</v>
      </c>
      <c r="L1098" s="512">
        <v>10</v>
      </c>
      <c r="M1098" s="513">
        <v>2032</v>
      </c>
      <c r="N1098" s="514">
        <v>20809159</v>
      </c>
      <c r="O1098" s="515">
        <v>44620</v>
      </c>
      <c r="P1098" s="515">
        <v>44620</v>
      </c>
      <c r="Q1098" s="516">
        <v>0</v>
      </c>
    </row>
    <row r="1099" spans="1:17" ht="16.5">
      <c r="A1099" s="9">
        <v>2022</v>
      </c>
      <c r="B1099" s="10" t="s">
        <v>748</v>
      </c>
      <c r="C1099" s="511" t="s">
        <v>749</v>
      </c>
      <c r="D1099" s="512">
        <v>218000</v>
      </c>
      <c r="E1099" s="512">
        <v>0</v>
      </c>
      <c r="F1099" s="512"/>
      <c r="G1099" s="512">
        <v>44000</v>
      </c>
      <c r="H1099" s="512">
        <v>4.4000000000000004</v>
      </c>
      <c r="I1099" s="512"/>
      <c r="J1099" s="512" t="s">
        <v>208</v>
      </c>
      <c r="K1099" s="512" t="b">
        <v>0</v>
      </c>
      <c r="L1099" s="512">
        <v>7</v>
      </c>
      <c r="M1099" s="513">
        <v>2029</v>
      </c>
      <c r="N1099" s="514">
        <v>0</v>
      </c>
      <c r="O1099" s="515">
        <v>44620</v>
      </c>
      <c r="P1099" s="515">
        <v>44620</v>
      </c>
      <c r="Q1099" s="516">
        <v>0</v>
      </c>
    </row>
    <row r="1100" spans="1:17" ht="16.5">
      <c r="A1100" s="9">
        <v>2022</v>
      </c>
      <c r="B1100" s="10" t="s">
        <v>748</v>
      </c>
      <c r="C1100" s="511" t="s">
        <v>749</v>
      </c>
      <c r="D1100" s="512">
        <v>218000</v>
      </c>
      <c r="E1100" s="512">
        <v>0</v>
      </c>
      <c r="F1100" s="512"/>
      <c r="G1100" s="512">
        <v>44000</v>
      </c>
      <c r="H1100" s="512">
        <v>4.4000000000000004</v>
      </c>
      <c r="I1100" s="512"/>
      <c r="J1100" s="512" t="s">
        <v>208</v>
      </c>
      <c r="K1100" s="512" t="b">
        <v>0</v>
      </c>
      <c r="L1100" s="512">
        <v>5</v>
      </c>
      <c r="M1100" s="513">
        <v>2027</v>
      </c>
      <c r="N1100" s="514">
        <v>0</v>
      </c>
      <c r="O1100" s="515">
        <v>44620</v>
      </c>
      <c r="P1100" s="515">
        <v>44620</v>
      </c>
      <c r="Q1100" s="516">
        <v>0</v>
      </c>
    </row>
    <row r="1101" spans="1:17" ht="16.5">
      <c r="A1101" s="9">
        <v>2022</v>
      </c>
      <c r="B1101" s="10" t="s">
        <v>748</v>
      </c>
      <c r="C1101" s="511" t="s">
        <v>749</v>
      </c>
      <c r="D1101" s="512">
        <v>218000</v>
      </c>
      <c r="E1101" s="512">
        <v>0</v>
      </c>
      <c r="F1101" s="512"/>
      <c r="G1101" s="512">
        <v>44000</v>
      </c>
      <c r="H1101" s="512">
        <v>4.4000000000000004</v>
      </c>
      <c r="I1101" s="512"/>
      <c r="J1101" s="512" t="s">
        <v>208</v>
      </c>
      <c r="K1101" s="512" t="b">
        <v>0</v>
      </c>
      <c r="L1101" s="512">
        <v>4</v>
      </c>
      <c r="M1101" s="513">
        <v>2026</v>
      </c>
      <c r="N1101" s="514">
        <v>0</v>
      </c>
      <c r="O1101" s="515">
        <v>44620</v>
      </c>
      <c r="P1101" s="515">
        <v>44620</v>
      </c>
      <c r="Q1101" s="516">
        <v>0</v>
      </c>
    </row>
    <row r="1102" spans="1:17" ht="16.5">
      <c r="A1102" s="9">
        <v>2022</v>
      </c>
      <c r="B1102" s="10" t="s">
        <v>748</v>
      </c>
      <c r="C1102" s="511" t="s">
        <v>749</v>
      </c>
      <c r="D1102" s="512">
        <v>218000</v>
      </c>
      <c r="E1102" s="512">
        <v>0</v>
      </c>
      <c r="F1102" s="512"/>
      <c r="G1102" s="512">
        <v>44000</v>
      </c>
      <c r="H1102" s="512">
        <v>4.4000000000000004</v>
      </c>
      <c r="I1102" s="512"/>
      <c r="J1102" s="512" t="s">
        <v>208</v>
      </c>
      <c r="K1102" s="512" t="b">
        <v>0</v>
      </c>
      <c r="L1102" s="512">
        <v>10</v>
      </c>
      <c r="M1102" s="513">
        <v>2032</v>
      </c>
      <c r="N1102" s="514">
        <v>0</v>
      </c>
      <c r="O1102" s="515">
        <v>44620</v>
      </c>
      <c r="P1102" s="515">
        <v>44620</v>
      </c>
      <c r="Q1102" s="516">
        <v>0</v>
      </c>
    </row>
    <row r="1103" spans="1:17" ht="16.5">
      <c r="A1103" s="9">
        <v>2022</v>
      </c>
      <c r="B1103" s="10" t="s">
        <v>748</v>
      </c>
      <c r="C1103" s="511" t="s">
        <v>749</v>
      </c>
      <c r="D1103" s="512">
        <v>218000</v>
      </c>
      <c r="E1103" s="512">
        <v>0</v>
      </c>
      <c r="F1103" s="512"/>
      <c r="G1103" s="512">
        <v>44000</v>
      </c>
      <c r="H1103" s="512">
        <v>4.4000000000000004</v>
      </c>
      <c r="I1103" s="512"/>
      <c r="J1103" s="512" t="s">
        <v>208</v>
      </c>
      <c r="K1103" s="512" t="b">
        <v>0</v>
      </c>
      <c r="L1103" s="512">
        <v>3</v>
      </c>
      <c r="M1103" s="513">
        <v>2025</v>
      </c>
      <c r="N1103" s="514">
        <v>0</v>
      </c>
      <c r="O1103" s="515">
        <v>44620</v>
      </c>
      <c r="P1103" s="515">
        <v>44620</v>
      </c>
      <c r="Q1103" s="516">
        <v>0</v>
      </c>
    </row>
    <row r="1104" spans="1:17" ht="16.5">
      <c r="A1104" s="9">
        <v>2022</v>
      </c>
      <c r="B1104" s="10" t="s">
        <v>748</v>
      </c>
      <c r="C1104" s="511" t="s">
        <v>749</v>
      </c>
      <c r="D1104" s="512">
        <v>218000</v>
      </c>
      <c r="E1104" s="512">
        <v>0</v>
      </c>
      <c r="F1104" s="512"/>
      <c r="G1104" s="512">
        <v>44000</v>
      </c>
      <c r="H1104" s="512">
        <v>4.4000000000000004</v>
      </c>
      <c r="I1104" s="512"/>
      <c r="J1104" s="512" t="s">
        <v>208</v>
      </c>
      <c r="K1104" s="512" t="b">
        <v>0</v>
      </c>
      <c r="L1104" s="512">
        <v>8</v>
      </c>
      <c r="M1104" s="513">
        <v>2030</v>
      </c>
      <c r="N1104" s="514">
        <v>0</v>
      </c>
      <c r="O1104" s="515">
        <v>44620</v>
      </c>
      <c r="P1104" s="515">
        <v>44620</v>
      </c>
      <c r="Q1104" s="516">
        <v>0</v>
      </c>
    </row>
    <row r="1105" spans="1:17" ht="16.5">
      <c r="A1105" s="9">
        <v>2022</v>
      </c>
      <c r="B1105" s="10" t="s">
        <v>748</v>
      </c>
      <c r="C1105" s="511" t="s">
        <v>749</v>
      </c>
      <c r="D1105" s="512">
        <v>218000</v>
      </c>
      <c r="E1105" s="512">
        <v>0</v>
      </c>
      <c r="F1105" s="512"/>
      <c r="G1105" s="512">
        <v>44000</v>
      </c>
      <c r="H1105" s="512">
        <v>4.4000000000000004</v>
      </c>
      <c r="I1105" s="512"/>
      <c r="J1105" s="512" t="s">
        <v>208</v>
      </c>
      <c r="K1105" s="512" t="b">
        <v>0</v>
      </c>
      <c r="L1105" s="512">
        <v>11</v>
      </c>
      <c r="M1105" s="513">
        <v>2033</v>
      </c>
      <c r="N1105" s="514">
        <v>0</v>
      </c>
      <c r="O1105" s="515">
        <v>44620</v>
      </c>
      <c r="P1105" s="515">
        <v>44620</v>
      </c>
      <c r="Q1105" s="516">
        <v>0</v>
      </c>
    </row>
    <row r="1106" spans="1:17" ht="16.5">
      <c r="A1106" s="9">
        <v>2022</v>
      </c>
      <c r="B1106" s="10" t="s">
        <v>748</v>
      </c>
      <c r="C1106" s="511" t="s">
        <v>749</v>
      </c>
      <c r="D1106" s="512">
        <v>218000</v>
      </c>
      <c r="E1106" s="512">
        <v>0</v>
      </c>
      <c r="F1106" s="512"/>
      <c r="G1106" s="512">
        <v>44000</v>
      </c>
      <c r="H1106" s="512">
        <v>4.4000000000000004</v>
      </c>
      <c r="I1106" s="512"/>
      <c r="J1106" s="512" t="s">
        <v>208</v>
      </c>
      <c r="K1106" s="512" t="b">
        <v>0</v>
      </c>
      <c r="L1106" s="512">
        <v>1</v>
      </c>
      <c r="M1106" s="513">
        <v>2023</v>
      </c>
      <c r="N1106" s="514">
        <v>0</v>
      </c>
      <c r="O1106" s="515">
        <v>44620</v>
      </c>
      <c r="P1106" s="515">
        <v>44620</v>
      </c>
      <c r="Q1106" s="516">
        <v>0</v>
      </c>
    </row>
    <row r="1107" spans="1:17" ht="16.5">
      <c r="A1107" s="9">
        <v>2022</v>
      </c>
      <c r="B1107" s="10" t="s">
        <v>748</v>
      </c>
      <c r="C1107" s="511" t="s">
        <v>749</v>
      </c>
      <c r="D1107" s="512">
        <v>218000</v>
      </c>
      <c r="E1107" s="512">
        <v>0</v>
      </c>
      <c r="F1107" s="512"/>
      <c r="G1107" s="512">
        <v>44000</v>
      </c>
      <c r="H1107" s="512">
        <v>4.4000000000000004</v>
      </c>
      <c r="I1107" s="512"/>
      <c r="J1107" s="512" t="s">
        <v>208</v>
      </c>
      <c r="K1107" s="512" t="b">
        <v>0</v>
      </c>
      <c r="L1107" s="512">
        <v>6</v>
      </c>
      <c r="M1107" s="513">
        <v>2028</v>
      </c>
      <c r="N1107" s="514">
        <v>0</v>
      </c>
      <c r="O1107" s="515">
        <v>44620</v>
      </c>
      <c r="P1107" s="515">
        <v>44620</v>
      </c>
      <c r="Q1107" s="516">
        <v>0</v>
      </c>
    </row>
    <row r="1108" spans="1:17" ht="16.5">
      <c r="A1108" s="9">
        <v>2022</v>
      </c>
      <c r="B1108" s="10" t="s">
        <v>748</v>
      </c>
      <c r="C1108" s="511" t="s">
        <v>749</v>
      </c>
      <c r="D1108" s="512">
        <v>218000</v>
      </c>
      <c r="E1108" s="512">
        <v>0</v>
      </c>
      <c r="F1108" s="512"/>
      <c r="G1108" s="512">
        <v>44000</v>
      </c>
      <c r="H1108" s="512">
        <v>4.4000000000000004</v>
      </c>
      <c r="I1108" s="512"/>
      <c r="J1108" s="512" t="s">
        <v>208</v>
      </c>
      <c r="K1108" s="512" t="b">
        <v>0</v>
      </c>
      <c r="L1108" s="512">
        <v>0</v>
      </c>
      <c r="M1108" s="513">
        <v>2022</v>
      </c>
      <c r="N1108" s="514">
        <v>32000</v>
      </c>
      <c r="O1108" s="515">
        <v>44620</v>
      </c>
      <c r="P1108" s="515">
        <v>44620</v>
      </c>
      <c r="Q1108" s="516">
        <v>0</v>
      </c>
    </row>
    <row r="1109" spans="1:17" ht="16.5">
      <c r="A1109" s="9">
        <v>2022</v>
      </c>
      <c r="B1109" s="10" t="s">
        <v>748</v>
      </c>
      <c r="C1109" s="511" t="s">
        <v>749</v>
      </c>
      <c r="D1109" s="512">
        <v>218000</v>
      </c>
      <c r="E1109" s="512">
        <v>0</v>
      </c>
      <c r="F1109" s="512"/>
      <c r="G1109" s="512">
        <v>44000</v>
      </c>
      <c r="H1109" s="512">
        <v>4.4000000000000004</v>
      </c>
      <c r="I1109" s="512"/>
      <c r="J1109" s="512" t="s">
        <v>208</v>
      </c>
      <c r="K1109" s="512" t="b">
        <v>0</v>
      </c>
      <c r="L1109" s="512">
        <v>2</v>
      </c>
      <c r="M1109" s="513">
        <v>2024</v>
      </c>
      <c r="N1109" s="514">
        <v>0</v>
      </c>
      <c r="O1109" s="515">
        <v>44620</v>
      </c>
      <c r="P1109" s="515">
        <v>44620</v>
      </c>
      <c r="Q1109" s="516">
        <v>0</v>
      </c>
    </row>
    <row r="1110" spans="1:17" ht="16.5">
      <c r="A1110" s="9">
        <v>2022</v>
      </c>
      <c r="B1110" s="10" t="s">
        <v>748</v>
      </c>
      <c r="C1110" s="511" t="s">
        <v>749</v>
      </c>
      <c r="D1110" s="512">
        <v>218000</v>
      </c>
      <c r="E1110" s="512">
        <v>0</v>
      </c>
      <c r="F1110" s="512"/>
      <c r="G1110" s="512">
        <v>44000</v>
      </c>
      <c r="H1110" s="512">
        <v>4.4000000000000004</v>
      </c>
      <c r="I1110" s="512"/>
      <c r="J1110" s="512" t="s">
        <v>208</v>
      </c>
      <c r="K1110" s="512" t="b">
        <v>0</v>
      </c>
      <c r="L1110" s="512">
        <v>9</v>
      </c>
      <c r="M1110" s="513">
        <v>2031</v>
      </c>
      <c r="N1110" s="514">
        <v>0</v>
      </c>
      <c r="O1110" s="515">
        <v>44620</v>
      </c>
      <c r="P1110" s="515">
        <v>44620</v>
      </c>
      <c r="Q1110" s="516">
        <v>0</v>
      </c>
    </row>
    <row r="1111" spans="1:17" ht="16.5">
      <c r="A1111" s="9">
        <v>2022</v>
      </c>
      <c r="B1111" s="10" t="s">
        <v>748</v>
      </c>
      <c r="C1111" s="511" t="s">
        <v>749</v>
      </c>
      <c r="D1111" s="512">
        <v>218000</v>
      </c>
      <c r="E1111" s="512">
        <v>0</v>
      </c>
      <c r="F1111" s="512"/>
      <c r="G1111" s="512">
        <v>41100</v>
      </c>
      <c r="H1111" s="512" t="s">
        <v>43</v>
      </c>
      <c r="I1111" s="512"/>
      <c r="J1111" s="512" t="s">
        <v>204</v>
      </c>
      <c r="K1111" s="512" t="b">
        <v>0</v>
      </c>
      <c r="L1111" s="512">
        <v>0</v>
      </c>
      <c r="M1111" s="513">
        <v>2022</v>
      </c>
      <c r="N1111" s="514">
        <v>6500000</v>
      </c>
      <c r="O1111" s="515">
        <v>44620</v>
      </c>
      <c r="P1111" s="515">
        <v>44620</v>
      </c>
      <c r="Q1111" s="516">
        <v>0</v>
      </c>
    </row>
    <row r="1112" spans="1:17" ht="16.5">
      <c r="A1112" s="9">
        <v>2022</v>
      </c>
      <c r="B1112" s="10" t="s">
        <v>748</v>
      </c>
      <c r="C1112" s="511" t="s">
        <v>749</v>
      </c>
      <c r="D1112" s="512">
        <v>218000</v>
      </c>
      <c r="E1112" s="512">
        <v>0</v>
      </c>
      <c r="F1112" s="512"/>
      <c r="G1112" s="512">
        <v>41100</v>
      </c>
      <c r="H1112" s="512" t="s">
        <v>43</v>
      </c>
      <c r="I1112" s="512"/>
      <c r="J1112" s="512" t="s">
        <v>204</v>
      </c>
      <c r="K1112" s="512" t="b">
        <v>0</v>
      </c>
      <c r="L1112" s="512">
        <v>10</v>
      </c>
      <c r="M1112" s="513">
        <v>2032</v>
      </c>
      <c r="N1112" s="514">
        <v>0</v>
      </c>
      <c r="O1112" s="515">
        <v>44620</v>
      </c>
      <c r="P1112" s="515">
        <v>44620</v>
      </c>
      <c r="Q1112" s="516">
        <v>0</v>
      </c>
    </row>
    <row r="1113" spans="1:17" ht="16.5">
      <c r="A1113" s="9">
        <v>2022</v>
      </c>
      <c r="B1113" s="10" t="s">
        <v>748</v>
      </c>
      <c r="C1113" s="511" t="s">
        <v>749</v>
      </c>
      <c r="D1113" s="512">
        <v>218000</v>
      </c>
      <c r="E1113" s="512">
        <v>0</v>
      </c>
      <c r="F1113" s="512"/>
      <c r="G1113" s="512">
        <v>41100</v>
      </c>
      <c r="H1113" s="512" t="s">
        <v>43</v>
      </c>
      <c r="I1113" s="512"/>
      <c r="J1113" s="512" t="s">
        <v>204</v>
      </c>
      <c r="K1113" s="512" t="b">
        <v>0</v>
      </c>
      <c r="L1113" s="512">
        <v>1</v>
      </c>
      <c r="M1113" s="513">
        <v>2023</v>
      </c>
      <c r="N1113" s="514">
        <v>0</v>
      </c>
      <c r="O1113" s="515">
        <v>44620</v>
      </c>
      <c r="P1113" s="515">
        <v>44620</v>
      </c>
      <c r="Q1113" s="516">
        <v>0</v>
      </c>
    </row>
    <row r="1114" spans="1:17" ht="16.5">
      <c r="A1114" s="9">
        <v>2022</v>
      </c>
      <c r="B1114" s="10" t="s">
        <v>748</v>
      </c>
      <c r="C1114" s="511" t="s">
        <v>749</v>
      </c>
      <c r="D1114" s="512">
        <v>218000</v>
      </c>
      <c r="E1114" s="512">
        <v>0</v>
      </c>
      <c r="F1114" s="512"/>
      <c r="G1114" s="512">
        <v>41100</v>
      </c>
      <c r="H1114" s="512" t="s">
        <v>43</v>
      </c>
      <c r="I1114" s="512"/>
      <c r="J1114" s="512" t="s">
        <v>204</v>
      </c>
      <c r="K1114" s="512" t="b">
        <v>0</v>
      </c>
      <c r="L1114" s="512">
        <v>9</v>
      </c>
      <c r="M1114" s="513">
        <v>2031</v>
      </c>
      <c r="N1114" s="514">
        <v>0</v>
      </c>
      <c r="O1114" s="515">
        <v>44620</v>
      </c>
      <c r="P1114" s="515">
        <v>44620</v>
      </c>
      <c r="Q1114" s="516">
        <v>0</v>
      </c>
    </row>
    <row r="1115" spans="1:17" ht="16.5">
      <c r="A1115" s="9">
        <v>2022</v>
      </c>
      <c r="B1115" s="10" t="s">
        <v>748</v>
      </c>
      <c r="C1115" s="511" t="s">
        <v>749</v>
      </c>
      <c r="D1115" s="512">
        <v>218000</v>
      </c>
      <c r="E1115" s="512">
        <v>0</v>
      </c>
      <c r="F1115" s="512"/>
      <c r="G1115" s="512">
        <v>41100</v>
      </c>
      <c r="H1115" s="512" t="s">
        <v>43</v>
      </c>
      <c r="I1115" s="512"/>
      <c r="J1115" s="512" t="s">
        <v>204</v>
      </c>
      <c r="K1115" s="512" t="b">
        <v>0</v>
      </c>
      <c r="L1115" s="512">
        <v>5</v>
      </c>
      <c r="M1115" s="513">
        <v>2027</v>
      </c>
      <c r="N1115" s="514">
        <v>0</v>
      </c>
      <c r="O1115" s="515">
        <v>44620</v>
      </c>
      <c r="P1115" s="515">
        <v>44620</v>
      </c>
      <c r="Q1115" s="516">
        <v>0</v>
      </c>
    </row>
    <row r="1116" spans="1:17" ht="16.5">
      <c r="A1116" s="9">
        <v>2022</v>
      </c>
      <c r="B1116" s="10" t="s">
        <v>748</v>
      </c>
      <c r="C1116" s="511" t="s">
        <v>749</v>
      </c>
      <c r="D1116" s="512">
        <v>218000</v>
      </c>
      <c r="E1116" s="512">
        <v>0</v>
      </c>
      <c r="F1116" s="512"/>
      <c r="G1116" s="512">
        <v>41100</v>
      </c>
      <c r="H1116" s="512" t="s">
        <v>43</v>
      </c>
      <c r="I1116" s="512"/>
      <c r="J1116" s="512" t="s">
        <v>204</v>
      </c>
      <c r="K1116" s="512" t="b">
        <v>0</v>
      </c>
      <c r="L1116" s="512">
        <v>6</v>
      </c>
      <c r="M1116" s="513">
        <v>2028</v>
      </c>
      <c r="N1116" s="514">
        <v>0</v>
      </c>
      <c r="O1116" s="515">
        <v>44620</v>
      </c>
      <c r="P1116" s="515">
        <v>44620</v>
      </c>
      <c r="Q1116" s="516">
        <v>0</v>
      </c>
    </row>
    <row r="1117" spans="1:17" ht="16.5">
      <c r="A1117" s="9">
        <v>2022</v>
      </c>
      <c r="B1117" s="10" t="s">
        <v>748</v>
      </c>
      <c r="C1117" s="511" t="s">
        <v>749</v>
      </c>
      <c r="D1117" s="512">
        <v>218000</v>
      </c>
      <c r="E1117" s="512">
        <v>0</v>
      </c>
      <c r="F1117" s="512"/>
      <c r="G1117" s="512">
        <v>41100</v>
      </c>
      <c r="H1117" s="512" t="s">
        <v>43</v>
      </c>
      <c r="I1117" s="512"/>
      <c r="J1117" s="512" t="s">
        <v>204</v>
      </c>
      <c r="K1117" s="512" t="b">
        <v>0</v>
      </c>
      <c r="L1117" s="512">
        <v>4</v>
      </c>
      <c r="M1117" s="513">
        <v>2026</v>
      </c>
      <c r="N1117" s="514">
        <v>0</v>
      </c>
      <c r="O1117" s="515">
        <v>44620</v>
      </c>
      <c r="P1117" s="515">
        <v>44620</v>
      </c>
      <c r="Q1117" s="516">
        <v>0</v>
      </c>
    </row>
    <row r="1118" spans="1:17" ht="16.5">
      <c r="A1118" s="9">
        <v>2022</v>
      </c>
      <c r="B1118" s="10" t="s">
        <v>748</v>
      </c>
      <c r="C1118" s="511" t="s">
        <v>749</v>
      </c>
      <c r="D1118" s="512">
        <v>218000</v>
      </c>
      <c r="E1118" s="512">
        <v>0</v>
      </c>
      <c r="F1118" s="512"/>
      <c r="G1118" s="512">
        <v>41100</v>
      </c>
      <c r="H1118" s="512" t="s">
        <v>43</v>
      </c>
      <c r="I1118" s="512"/>
      <c r="J1118" s="512" t="s">
        <v>204</v>
      </c>
      <c r="K1118" s="512" t="b">
        <v>0</v>
      </c>
      <c r="L1118" s="512">
        <v>7</v>
      </c>
      <c r="M1118" s="513">
        <v>2029</v>
      </c>
      <c r="N1118" s="514">
        <v>0</v>
      </c>
      <c r="O1118" s="515">
        <v>44620</v>
      </c>
      <c r="P1118" s="515">
        <v>44620</v>
      </c>
      <c r="Q1118" s="516">
        <v>0</v>
      </c>
    </row>
    <row r="1119" spans="1:17" ht="16.5">
      <c r="A1119" s="9">
        <v>2022</v>
      </c>
      <c r="B1119" s="10" t="s">
        <v>748</v>
      </c>
      <c r="C1119" s="511" t="s">
        <v>749</v>
      </c>
      <c r="D1119" s="512">
        <v>218000</v>
      </c>
      <c r="E1119" s="512">
        <v>0</v>
      </c>
      <c r="F1119" s="512"/>
      <c r="G1119" s="512">
        <v>41100</v>
      </c>
      <c r="H1119" s="512" t="s">
        <v>43</v>
      </c>
      <c r="I1119" s="512"/>
      <c r="J1119" s="512" t="s">
        <v>204</v>
      </c>
      <c r="K1119" s="512" t="b">
        <v>0</v>
      </c>
      <c r="L1119" s="512">
        <v>3</v>
      </c>
      <c r="M1119" s="513">
        <v>2025</v>
      </c>
      <c r="N1119" s="514">
        <v>0</v>
      </c>
      <c r="O1119" s="515">
        <v>44620</v>
      </c>
      <c r="P1119" s="515">
        <v>44620</v>
      </c>
      <c r="Q1119" s="516">
        <v>0</v>
      </c>
    </row>
    <row r="1120" spans="1:17" ht="16.5">
      <c r="A1120" s="9">
        <v>2022</v>
      </c>
      <c r="B1120" s="10" t="s">
        <v>748</v>
      </c>
      <c r="C1120" s="511" t="s">
        <v>749</v>
      </c>
      <c r="D1120" s="512">
        <v>218000</v>
      </c>
      <c r="E1120" s="512">
        <v>0</v>
      </c>
      <c r="F1120" s="512"/>
      <c r="G1120" s="512">
        <v>41100</v>
      </c>
      <c r="H1120" s="512" t="s">
        <v>43</v>
      </c>
      <c r="I1120" s="512"/>
      <c r="J1120" s="512" t="s">
        <v>204</v>
      </c>
      <c r="K1120" s="512" t="b">
        <v>0</v>
      </c>
      <c r="L1120" s="512">
        <v>2</v>
      </c>
      <c r="M1120" s="513">
        <v>2024</v>
      </c>
      <c r="N1120" s="514">
        <v>0</v>
      </c>
      <c r="O1120" s="515">
        <v>44620</v>
      </c>
      <c r="P1120" s="515">
        <v>44620</v>
      </c>
      <c r="Q1120" s="516">
        <v>0</v>
      </c>
    </row>
    <row r="1121" spans="1:17" ht="16.5">
      <c r="A1121" s="9">
        <v>2022</v>
      </c>
      <c r="B1121" s="10" t="s">
        <v>748</v>
      </c>
      <c r="C1121" s="511" t="s">
        <v>749</v>
      </c>
      <c r="D1121" s="512">
        <v>218000</v>
      </c>
      <c r="E1121" s="512">
        <v>0</v>
      </c>
      <c r="F1121" s="512"/>
      <c r="G1121" s="512">
        <v>41100</v>
      </c>
      <c r="H1121" s="512" t="s">
        <v>43</v>
      </c>
      <c r="I1121" s="512"/>
      <c r="J1121" s="512" t="s">
        <v>204</v>
      </c>
      <c r="K1121" s="512" t="b">
        <v>0</v>
      </c>
      <c r="L1121" s="512">
        <v>8</v>
      </c>
      <c r="M1121" s="513">
        <v>2030</v>
      </c>
      <c r="N1121" s="514">
        <v>0</v>
      </c>
      <c r="O1121" s="515">
        <v>44620</v>
      </c>
      <c r="P1121" s="515">
        <v>44620</v>
      </c>
      <c r="Q1121" s="516">
        <v>0</v>
      </c>
    </row>
    <row r="1122" spans="1:17" ht="16.5">
      <c r="A1122" s="9">
        <v>2022</v>
      </c>
      <c r="B1122" s="10" t="s">
        <v>748</v>
      </c>
      <c r="C1122" s="511" t="s">
        <v>749</v>
      </c>
      <c r="D1122" s="512">
        <v>218000</v>
      </c>
      <c r="E1122" s="512">
        <v>0</v>
      </c>
      <c r="F1122" s="512"/>
      <c r="G1122" s="512">
        <v>41100</v>
      </c>
      <c r="H1122" s="512" t="s">
        <v>43</v>
      </c>
      <c r="I1122" s="512"/>
      <c r="J1122" s="512" t="s">
        <v>204</v>
      </c>
      <c r="K1122" s="512" t="b">
        <v>0</v>
      </c>
      <c r="L1122" s="512">
        <v>11</v>
      </c>
      <c r="M1122" s="513">
        <v>2033</v>
      </c>
      <c r="N1122" s="514">
        <v>0</v>
      </c>
      <c r="O1122" s="515">
        <v>44620</v>
      </c>
      <c r="P1122" s="515">
        <v>44620</v>
      </c>
      <c r="Q1122" s="516">
        <v>0</v>
      </c>
    </row>
    <row r="1123" spans="1:17" ht="16.5">
      <c r="A1123" s="9">
        <v>2022</v>
      </c>
      <c r="B1123" s="10" t="s">
        <v>748</v>
      </c>
      <c r="C1123" s="511" t="s">
        <v>749</v>
      </c>
      <c r="D1123" s="512">
        <v>218000</v>
      </c>
      <c r="E1123" s="512">
        <v>0</v>
      </c>
      <c r="F1123" s="512"/>
      <c r="G1123" s="512">
        <v>87100</v>
      </c>
      <c r="H1123" s="512" t="s">
        <v>586</v>
      </c>
      <c r="I1123" s="512" t="s">
        <v>784</v>
      </c>
      <c r="J1123" s="512" t="s">
        <v>586</v>
      </c>
      <c r="K1123" s="512" t="b">
        <v>1</v>
      </c>
      <c r="L1123" s="512">
        <v>2</v>
      </c>
      <c r="M1123" s="513">
        <v>2024</v>
      </c>
      <c r="N1123" s="514">
        <v>627</v>
      </c>
      <c r="O1123" s="515">
        <v>44620</v>
      </c>
      <c r="P1123" s="515">
        <v>44620</v>
      </c>
      <c r="Q1123" s="516">
        <v>0</v>
      </c>
    </row>
    <row r="1124" spans="1:17" ht="16.5">
      <c r="A1124" s="9">
        <v>2022</v>
      </c>
      <c r="B1124" s="10" t="s">
        <v>748</v>
      </c>
      <c r="C1124" s="511" t="s">
        <v>749</v>
      </c>
      <c r="D1124" s="512">
        <v>218000</v>
      </c>
      <c r="E1124" s="512">
        <v>0</v>
      </c>
      <c r="F1124" s="512"/>
      <c r="G1124" s="512">
        <v>87100</v>
      </c>
      <c r="H1124" s="512" t="s">
        <v>586</v>
      </c>
      <c r="I1124" s="512" t="s">
        <v>784</v>
      </c>
      <c r="J1124" s="512" t="s">
        <v>586</v>
      </c>
      <c r="K1124" s="512" t="b">
        <v>1</v>
      </c>
      <c r="L1124" s="512">
        <v>1</v>
      </c>
      <c r="M1124" s="513">
        <v>2023</v>
      </c>
      <c r="N1124" s="514">
        <v>709</v>
      </c>
      <c r="O1124" s="515">
        <v>44620</v>
      </c>
      <c r="P1124" s="515">
        <v>44620</v>
      </c>
      <c r="Q1124" s="516">
        <v>0</v>
      </c>
    </row>
    <row r="1125" spans="1:17" ht="16.5">
      <c r="A1125" s="9">
        <v>2022</v>
      </c>
      <c r="B1125" s="10" t="s">
        <v>748</v>
      </c>
      <c r="C1125" s="511" t="s">
        <v>749</v>
      </c>
      <c r="D1125" s="512">
        <v>218000</v>
      </c>
      <c r="E1125" s="512">
        <v>0</v>
      </c>
      <c r="F1125" s="512"/>
      <c r="G1125" s="512">
        <v>87100</v>
      </c>
      <c r="H1125" s="512" t="s">
        <v>586</v>
      </c>
      <c r="I1125" s="512" t="s">
        <v>784</v>
      </c>
      <c r="J1125" s="512" t="s">
        <v>586</v>
      </c>
      <c r="K1125" s="512" t="b">
        <v>1</v>
      </c>
      <c r="L1125" s="512">
        <v>3</v>
      </c>
      <c r="M1125" s="513">
        <v>2025</v>
      </c>
      <c r="N1125" s="514">
        <v>549</v>
      </c>
      <c r="O1125" s="515">
        <v>44620</v>
      </c>
      <c r="P1125" s="515">
        <v>44620</v>
      </c>
      <c r="Q1125" s="516">
        <v>0</v>
      </c>
    </row>
    <row r="1126" spans="1:17" ht="16.5">
      <c r="A1126" s="9">
        <v>2022</v>
      </c>
      <c r="B1126" s="10" t="s">
        <v>748</v>
      </c>
      <c r="C1126" s="511" t="s">
        <v>749</v>
      </c>
      <c r="D1126" s="512">
        <v>218000</v>
      </c>
      <c r="E1126" s="512">
        <v>0</v>
      </c>
      <c r="F1126" s="512"/>
      <c r="G1126" s="512">
        <v>87100</v>
      </c>
      <c r="H1126" s="512" t="s">
        <v>586</v>
      </c>
      <c r="I1126" s="512" t="s">
        <v>784</v>
      </c>
      <c r="J1126" s="512" t="s">
        <v>586</v>
      </c>
      <c r="K1126" s="512" t="b">
        <v>1</v>
      </c>
      <c r="L1126" s="512">
        <v>4</v>
      </c>
      <c r="M1126" s="513">
        <v>2026</v>
      </c>
      <c r="N1126" s="514">
        <v>434</v>
      </c>
      <c r="O1126" s="515">
        <v>44620</v>
      </c>
      <c r="P1126" s="515">
        <v>44620</v>
      </c>
      <c r="Q1126" s="516">
        <v>0</v>
      </c>
    </row>
    <row r="1127" spans="1:17" ht="16.5">
      <c r="A1127" s="9">
        <v>2022</v>
      </c>
      <c r="B1127" s="10" t="s">
        <v>748</v>
      </c>
      <c r="C1127" s="511" t="s">
        <v>749</v>
      </c>
      <c r="D1127" s="512">
        <v>218000</v>
      </c>
      <c r="E1127" s="512">
        <v>0</v>
      </c>
      <c r="F1127" s="512"/>
      <c r="G1127" s="512">
        <v>87100</v>
      </c>
      <c r="H1127" s="512" t="s">
        <v>586</v>
      </c>
      <c r="I1127" s="512" t="s">
        <v>784</v>
      </c>
      <c r="J1127" s="512" t="s">
        <v>586</v>
      </c>
      <c r="K1127" s="512" t="b">
        <v>1</v>
      </c>
      <c r="L1127" s="512">
        <v>9</v>
      </c>
      <c r="M1127" s="513">
        <v>2031</v>
      </c>
      <c r="N1127" s="514">
        <v>748</v>
      </c>
      <c r="O1127" s="515">
        <v>44620</v>
      </c>
      <c r="P1127" s="515">
        <v>44620</v>
      </c>
      <c r="Q1127" s="516">
        <v>0</v>
      </c>
    </row>
    <row r="1128" spans="1:17" ht="16.5">
      <c r="A1128" s="9">
        <v>2022</v>
      </c>
      <c r="B1128" s="10" t="s">
        <v>748</v>
      </c>
      <c r="C1128" s="511" t="s">
        <v>749</v>
      </c>
      <c r="D1128" s="512">
        <v>218000</v>
      </c>
      <c r="E1128" s="512">
        <v>0</v>
      </c>
      <c r="F1128" s="512"/>
      <c r="G1128" s="512">
        <v>87100</v>
      </c>
      <c r="H1128" s="512" t="s">
        <v>586</v>
      </c>
      <c r="I1128" s="512" t="s">
        <v>784</v>
      </c>
      <c r="J1128" s="512" t="s">
        <v>586</v>
      </c>
      <c r="K1128" s="512" t="b">
        <v>1</v>
      </c>
      <c r="L1128" s="512">
        <v>11</v>
      </c>
      <c r="M1128" s="513">
        <v>2033</v>
      </c>
      <c r="N1128" s="514">
        <v>899</v>
      </c>
      <c r="O1128" s="515">
        <v>44620</v>
      </c>
      <c r="P1128" s="515">
        <v>44620</v>
      </c>
      <c r="Q1128" s="516">
        <v>0</v>
      </c>
    </row>
    <row r="1129" spans="1:17" ht="16.5">
      <c r="A1129" s="9">
        <v>2022</v>
      </c>
      <c r="B1129" s="10" t="s">
        <v>748</v>
      </c>
      <c r="C1129" s="511" t="s">
        <v>749</v>
      </c>
      <c r="D1129" s="512">
        <v>218000</v>
      </c>
      <c r="E1129" s="512">
        <v>0</v>
      </c>
      <c r="F1129" s="512"/>
      <c r="G1129" s="512">
        <v>87100</v>
      </c>
      <c r="H1129" s="512" t="s">
        <v>586</v>
      </c>
      <c r="I1129" s="512" t="s">
        <v>784</v>
      </c>
      <c r="J1129" s="512" t="s">
        <v>586</v>
      </c>
      <c r="K1129" s="512" t="b">
        <v>1</v>
      </c>
      <c r="L1129" s="512">
        <v>5</v>
      </c>
      <c r="M1129" s="513">
        <v>2027</v>
      </c>
      <c r="N1129" s="514">
        <v>347</v>
      </c>
      <c r="O1129" s="515">
        <v>44620</v>
      </c>
      <c r="P1129" s="515">
        <v>44620</v>
      </c>
      <c r="Q1129" s="516">
        <v>0</v>
      </c>
    </row>
    <row r="1130" spans="1:17" ht="16.5">
      <c r="A1130" s="9">
        <v>2022</v>
      </c>
      <c r="B1130" s="10" t="s">
        <v>748</v>
      </c>
      <c r="C1130" s="511" t="s">
        <v>749</v>
      </c>
      <c r="D1130" s="512">
        <v>218000</v>
      </c>
      <c r="E1130" s="512">
        <v>0</v>
      </c>
      <c r="F1130" s="512"/>
      <c r="G1130" s="512">
        <v>87100</v>
      </c>
      <c r="H1130" s="512" t="s">
        <v>586</v>
      </c>
      <c r="I1130" s="512" t="s">
        <v>784</v>
      </c>
      <c r="J1130" s="512" t="s">
        <v>586</v>
      </c>
      <c r="K1130" s="512" t="b">
        <v>1</v>
      </c>
      <c r="L1130" s="512">
        <v>6</v>
      </c>
      <c r="M1130" s="513">
        <v>2028</v>
      </c>
      <c r="N1130" s="514">
        <v>438</v>
      </c>
      <c r="O1130" s="515">
        <v>44620</v>
      </c>
      <c r="P1130" s="515">
        <v>44620</v>
      </c>
      <c r="Q1130" s="516">
        <v>0</v>
      </c>
    </row>
    <row r="1131" spans="1:17" ht="16.5">
      <c r="A1131" s="9">
        <v>2022</v>
      </c>
      <c r="B1131" s="10" t="s">
        <v>748</v>
      </c>
      <c r="C1131" s="511" t="s">
        <v>749</v>
      </c>
      <c r="D1131" s="512">
        <v>218000</v>
      </c>
      <c r="E1131" s="512">
        <v>0</v>
      </c>
      <c r="F1131" s="512"/>
      <c r="G1131" s="512">
        <v>87100</v>
      </c>
      <c r="H1131" s="512" t="s">
        <v>586</v>
      </c>
      <c r="I1131" s="512" t="s">
        <v>784</v>
      </c>
      <c r="J1131" s="512" t="s">
        <v>586</v>
      </c>
      <c r="K1131" s="512" t="b">
        <v>1</v>
      </c>
      <c r="L1131" s="512">
        <v>0</v>
      </c>
      <c r="M1131" s="513">
        <v>2022</v>
      </c>
      <c r="N1131" s="514">
        <v>1383</v>
      </c>
      <c r="O1131" s="515">
        <v>44620</v>
      </c>
      <c r="P1131" s="515">
        <v>44620</v>
      </c>
      <c r="Q1131" s="516">
        <v>0</v>
      </c>
    </row>
    <row r="1132" spans="1:17" ht="16.5">
      <c r="A1132" s="9">
        <v>2022</v>
      </c>
      <c r="B1132" s="10" t="s">
        <v>748</v>
      </c>
      <c r="C1132" s="511" t="s">
        <v>749</v>
      </c>
      <c r="D1132" s="512">
        <v>218000</v>
      </c>
      <c r="E1132" s="512">
        <v>0</v>
      </c>
      <c r="F1132" s="512"/>
      <c r="G1132" s="512">
        <v>87100</v>
      </c>
      <c r="H1132" s="512" t="s">
        <v>586</v>
      </c>
      <c r="I1132" s="512" t="s">
        <v>784</v>
      </c>
      <c r="J1132" s="512" t="s">
        <v>586</v>
      </c>
      <c r="K1132" s="512" t="b">
        <v>1</v>
      </c>
      <c r="L1132" s="512">
        <v>10</v>
      </c>
      <c r="M1132" s="513">
        <v>2032</v>
      </c>
      <c r="N1132" s="514">
        <v>804</v>
      </c>
      <c r="O1132" s="515">
        <v>44620</v>
      </c>
      <c r="P1132" s="515">
        <v>44620</v>
      </c>
      <c r="Q1132" s="516">
        <v>0</v>
      </c>
    </row>
    <row r="1133" spans="1:17" ht="16.5">
      <c r="A1133" s="9">
        <v>2022</v>
      </c>
      <c r="B1133" s="10" t="s">
        <v>748</v>
      </c>
      <c r="C1133" s="511" t="s">
        <v>749</v>
      </c>
      <c r="D1133" s="512">
        <v>218000</v>
      </c>
      <c r="E1133" s="512">
        <v>0</v>
      </c>
      <c r="F1133" s="512"/>
      <c r="G1133" s="512">
        <v>87100</v>
      </c>
      <c r="H1133" s="512" t="s">
        <v>586</v>
      </c>
      <c r="I1133" s="512" t="s">
        <v>784</v>
      </c>
      <c r="J1133" s="512" t="s">
        <v>586</v>
      </c>
      <c r="K1133" s="512" t="b">
        <v>1</v>
      </c>
      <c r="L1133" s="512">
        <v>7</v>
      </c>
      <c r="M1133" s="513">
        <v>2029</v>
      </c>
      <c r="N1133" s="514">
        <v>519</v>
      </c>
      <c r="O1133" s="515">
        <v>44620</v>
      </c>
      <c r="P1133" s="515">
        <v>44620</v>
      </c>
      <c r="Q1133" s="516">
        <v>0</v>
      </c>
    </row>
    <row r="1134" spans="1:17" ht="16.5">
      <c r="A1134" s="9">
        <v>2022</v>
      </c>
      <c r="B1134" s="10" t="s">
        <v>748</v>
      </c>
      <c r="C1134" s="511" t="s">
        <v>749</v>
      </c>
      <c r="D1134" s="512">
        <v>218000</v>
      </c>
      <c r="E1134" s="512">
        <v>0</v>
      </c>
      <c r="F1134" s="512"/>
      <c r="G1134" s="512">
        <v>87100</v>
      </c>
      <c r="H1134" s="512" t="s">
        <v>586</v>
      </c>
      <c r="I1134" s="512" t="s">
        <v>784</v>
      </c>
      <c r="J1134" s="512" t="s">
        <v>586</v>
      </c>
      <c r="K1134" s="512" t="b">
        <v>1</v>
      </c>
      <c r="L1134" s="512">
        <v>8</v>
      </c>
      <c r="M1134" s="513">
        <v>2030</v>
      </c>
      <c r="N1134" s="514">
        <v>650</v>
      </c>
      <c r="O1134" s="515">
        <v>44620</v>
      </c>
      <c r="P1134" s="515">
        <v>44620</v>
      </c>
      <c r="Q1134" s="516">
        <v>0</v>
      </c>
    </row>
    <row r="1135" spans="1:17" ht="16.5">
      <c r="A1135" s="9">
        <v>2022</v>
      </c>
      <c r="B1135" s="10" t="s">
        <v>748</v>
      </c>
      <c r="C1135" s="511" t="s">
        <v>749</v>
      </c>
      <c r="D1135" s="512">
        <v>218000</v>
      </c>
      <c r="E1135" s="512">
        <v>0</v>
      </c>
      <c r="F1135" s="512"/>
      <c r="G1135" s="512">
        <v>101200</v>
      </c>
      <c r="H1135" s="512" t="s">
        <v>292</v>
      </c>
      <c r="I1135" s="512"/>
      <c r="J1135" s="512" t="s">
        <v>247</v>
      </c>
      <c r="K1135" s="512" t="b">
        <v>1</v>
      </c>
      <c r="L1135" s="512">
        <v>2</v>
      </c>
      <c r="M1135" s="513">
        <v>2024</v>
      </c>
      <c r="N1135" s="514">
        <v>1000000</v>
      </c>
      <c r="O1135" s="515">
        <v>44620</v>
      </c>
      <c r="P1135" s="515">
        <v>44620</v>
      </c>
      <c r="Q1135" s="516">
        <v>0</v>
      </c>
    </row>
    <row r="1136" spans="1:17" ht="16.5">
      <c r="A1136" s="9">
        <v>2022</v>
      </c>
      <c r="B1136" s="10" t="s">
        <v>748</v>
      </c>
      <c r="C1136" s="511" t="s">
        <v>749</v>
      </c>
      <c r="D1136" s="512">
        <v>218000</v>
      </c>
      <c r="E1136" s="512">
        <v>0</v>
      </c>
      <c r="F1136" s="512"/>
      <c r="G1136" s="512">
        <v>101200</v>
      </c>
      <c r="H1136" s="512" t="s">
        <v>292</v>
      </c>
      <c r="I1136" s="512"/>
      <c r="J1136" s="512" t="s">
        <v>247</v>
      </c>
      <c r="K1136" s="512" t="b">
        <v>1</v>
      </c>
      <c r="L1136" s="512">
        <v>10</v>
      </c>
      <c r="M1136" s="513">
        <v>2032</v>
      </c>
      <c r="N1136" s="514">
        <v>0</v>
      </c>
      <c r="O1136" s="515">
        <v>44620</v>
      </c>
      <c r="P1136" s="515">
        <v>44620</v>
      </c>
      <c r="Q1136" s="516">
        <v>0</v>
      </c>
    </row>
    <row r="1137" spans="1:17" ht="16.5">
      <c r="A1137" s="9">
        <v>2022</v>
      </c>
      <c r="B1137" s="10" t="s">
        <v>748</v>
      </c>
      <c r="C1137" s="511" t="s">
        <v>749</v>
      </c>
      <c r="D1137" s="512">
        <v>218000</v>
      </c>
      <c r="E1137" s="512">
        <v>0</v>
      </c>
      <c r="F1137" s="512"/>
      <c r="G1137" s="512">
        <v>101200</v>
      </c>
      <c r="H1137" s="512" t="s">
        <v>292</v>
      </c>
      <c r="I1137" s="512"/>
      <c r="J1137" s="512" t="s">
        <v>247</v>
      </c>
      <c r="K1137" s="512" t="b">
        <v>1</v>
      </c>
      <c r="L1137" s="512">
        <v>5</v>
      </c>
      <c r="M1137" s="513">
        <v>2027</v>
      </c>
      <c r="N1137" s="514">
        <v>0</v>
      </c>
      <c r="O1137" s="515">
        <v>44620</v>
      </c>
      <c r="P1137" s="515">
        <v>44620</v>
      </c>
      <c r="Q1137" s="516">
        <v>0</v>
      </c>
    </row>
    <row r="1138" spans="1:17" ht="16.5">
      <c r="A1138" s="9">
        <v>2022</v>
      </c>
      <c r="B1138" s="10" t="s">
        <v>748</v>
      </c>
      <c r="C1138" s="511" t="s">
        <v>749</v>
      </c>
      <c r="D1138" s="512">
        <v>218000</v>
      </c>
      <c r="E1138" s="512">
        <v>0</v>
      </c>
      <c r="F1138" s="512"/>
      <c r="G1138" s="512">
        <v>101200</v>
      </c>
      <c r="H1138" s="512" t="s">
        <v>292</v>
      </c>
      <c r="I1138" s="512"/>
      <c r="J1138" s="512" t="s">
        <v>247</v>
      </c>
      <c r="K1138" s="512" t="b">
        <v>1</v>
      </c>
      <c r="L1138" s="512">
        <v>9</v>
      </c>
      <c r="M1138" s="513">
        <v>2031</v>
      </c>
      <c r="N1138" s="514">
        <v>0</v>
      </c>
      <c r="O1138" s="515">
        <v>44620</v>
      </c>
      <c r="P1138" s="515">
        <v>44620</v>
      </c>
      <c r="Q1138" s="516">
        <v>0</v>
      </c>
    </row>
    <row r="1139" spans="1:17" ht="16.5">
      <c r="A1139" s="9">
        <v>2022</v>
      </c>
      <c r="B1139" s="10" t="s">
        <v>748</v>
      </c>
      <c r="C1139" s="511" t="s">
        <v>749</v>
      </c>
      <c r="D1139" s="512">
        <v>218000</v>
      </c>
      <c r="E1139" s="512">
        <v>0</v>
      </c>
      <c r="F1139" s="512"/>
      <c r="G1139" s="512">
        <v>101200</v>
      </c>
      <c r="H1139" s="512" t="s">
        <v>292</v>
      </c>
      <c r="I1139" s="512"/>
      <c r="J1139" s="512" t="s">
        <v>247</v>
      </c>
      <c r="K1139" s="512" t="b">
        <v>1</v>
      </c>
      <c r="L1139" s="512">
        <v>4</v>
      </c>
      <c r="M1139" s="513">
        <v>2026</v>
      </c>
      <c r="N1139" s="514">
        <v>0</v>
      </c>
      <c r="O1139" s="515">
        <v>44620</v>
      </c>
      <c r="P1139" s="515">
        <v>44620</v>
      </c>
      <c r="Q1139" s="516">
        <v>0</v>
      </c>
    </row>
    <row r="1140" spans="1:17" ht="16.5">
      <c r="A1140" s="9">
        <v>2022</v>
      </c>
      <c r="B1140" s="10" t="s">
        <v>748</v>
      </c>
      <c r="C1140" s="511" t="s">
        <v>749</v>
      </c>
      <c r="D1140" s="512">
        <v>218000</v>
      </c>
      <c r="E1140" s="512">
        <v>0</v>
      </c>
      <c r="F1140" s="512"/>
      <c r="G1140" s="512">
        <v>101200</v>
      </c>
      <c r="H1140" s="512" t="s">
        <v>292</v>
      </c>
      <c r="I1140" s="512"/>
      <c r="J1140" s="512" t="s">
        <v>247</v>
      </c>
      <c r="K1140" s="512" t="b">
        <v>1</v>
      </c>
      <c r="L1140" s="512">
        <v>8</v>
      </c>
      <c r="M1140" s="513">
        <v>2030</v>
      </c>
      <c r="N1140" s="514">
        <v>0</v>
      </c>
      <c r="O1140" s="515">
        <v>44620</v>
      </c>
      <c r="P1140" s="515">
        <v>44620</v>
      </c>
      <c r="Q1140" s="516">
        <v>0</v>
      </c>
    </row>
    <row r="1141" spans="1:17" ht="16.5">
      <c r="A1141" s="9">
        <v>2022</v>
      </c>
      <c r="B1141" s="10" t="s">
        <v>748</v>
      </c>
      <c r="C1141" s="511" t="s">
        <v>749</v>
      </c>
      <c r="D1141" s="512">
        <v>218000</v>
      </c>
      <c r="E1141" s="512">
        <v>0</v>
      </c>
      <c r="F1141" s="512"/>
      <c r="G1141" s="512">
        <v>101200</v>
      </c>
      <c r="H1141" s="512" t="s">
        <v>292</v>
      </c>
      <c r="I1141" s="512"/>
      <c r="J1141" s="512" t="s">
        <v>247</v>
      </c>
      <c r="K1141" s="512" t="b">
        <v>1</v>
      </c>
      <c r="L1141" s="512">
        <v>0</v>
      </c>
      <c r="M1141" s="513">
        <v>2022</v>
      </c>
      <c r="N1141" s="514">
        <v>7230000</v>
      </c>
      <c r="O1141" s="515">
        <v>44620</v>
      </c>
      <c r="P1141" s="515">
        <v>44620</v>
      </c>
      <c r="Q1141" s="516">
        <v>0</v>
      </c>
    </row>
    <row r="1142" spans="1:17" ht="16.5">
      <c r="A1142" s="9">
        <v>2022</v>
      </c>
      <c r="B1142" s="10" t="s">
        <v>748</v>
      </c>
      <c r="C1142" s="511" t="s">
        <v>749</v>
      </c>
      <c r="D1142" s="512">
        <v>218000</v>
      </c>
      <c r="E1142" s="512">
        <v>0</v>
      </c>
      <c r="F1142" s="512"/>
      <c r="G1142" s="512">
        <v>101200</v>
      </c>
      <c r="H1142" s="512" t="s">
        <v>292</v>
      </c>
      <c r="I1142" s="512"/>
      <c r="J1142" s="512" t="s">
        <v>247</v>
      </c>
      <c r="K1142" s="512" t="b">
        <v>1</v>
      </c>
      <c r="L1142" s="512">
        <v>7</v>
      </c>
      <c r="M1142" s="513">
        <v>2029</v>
      </c>
      <c r="N1142" s="514">
        <v>0</v>
      </c>
      <c r="O1142" s="515">
        <v>44620</v>
      </c>
      <c r="P1142" s="515">
        <v>44620</v>
      </c>
      <c r="Q1142" s="516">
        <v>0</v>
      </c>
    </row>
    <row r="1143" spans="1:17" ht="16.5">
      <c r="A1143" s="9">
        <v>2022</v>
      </c>
      <c r="B1143" s="10" t="s">
        <v>748</v>
      </c>
      <c r="C1143" s="511" t="s">
        <v>749</v>
      </c>
      <c r="D1143" s="512">
        <v>218000</v>
      </c>
      <c r="E1143" s="512">
        <v>0</v>
      </c>
      <c r="F1143" s="512"/>
      <c r="G1143" s="512">
        <v>101200</v>
      </c>
      <c r="H1143" s="512" t="s">
        <v>292</v>
      </c>
      <c r="I1143" s="512"/>
      <c r="J1143" s="512" t="s">
        <v>247</v>
      </c>
      <c r="K1143" s="512" t="b">
        <v>1</v>
      </c>
      <c r="L1143" s="512">
        <v>1</v>
      </c>
      <c r="M1143" s="513">
        <v>2023</v>
      </c>
      <c r="N1143" s="514">
        <v>22887000</v>
      </c>
      <c r="O1143" s="515">
        <v>44620</v>
      </c>
      <c r="P1143" s="515">
        <v>44620</v>
      </c>
      <c r="Q1143" s="516">
        <v>0</v>
      </c>
    </row>
    <row r="1144" spans="1:17" ht="16.5">
      <c r="A1144" s="9">
        <v>2022</v>
      </c>
      <c r="B1144" s="10" t="s">
        <v>748</v>
      </c>
      <c r="C1144" s="511" t="s">
        <v>749</v>
      </c>
      <c r="D1144" s="512">
        <v>218000</v>
      </c>
      <c r="E1144" s="512">
        <v>0</v>
      </c>
      <c r="F1144" s="512"/>
      <c r="G1144" s="512">
        <v>101200</v>
      </c>
      <c r="H1144" s="512" t="s">
        <v>292</v>
      </c>
      <c r="I1144" s="512"/>
      <c r="J1144" s="512" t="s">
        <v>247</v>
      </c>
      <c r="K1144" s="512" t="b">
        <v>1</v>
      </c>
      <c r="L1144" s="512">
        <v>6</v>
      </c>
      <c r="M1144" s="513">
        <v>2028</v>
      </c>
      <c r="N1144" s="514">
        <v>0</v>
      </c>
      <c r="O1144" s="515">
        <v>44620</v>
      </c>
      <c r="P1144" s="515">
        <v>44620</v>
      </c>
      <c r="Q1144" s="516">
        <v>0</v>
      </c>
    </row>
    <row r="1145" spans="1:17" ht="16.5">
      <c r="A1145" s="9">
        <v>2022</v>
      </c>
      <c r="B1145" s="10" t="s">
        <v>748</v>
      </c>
      <c r="C1145" s="511" t="s">
        <v>749</v>
      </c>
      <c r="D1145" s="512">
        <v>218000</v>
      </c>
      <c r="E1145" s="512">
        <v>0</v>
      </c>
      <c r="F1145" s="512"/>
      <c r="G1145" s="512">
        <v>101200</v>
      </c>
      <c r="H1145" s="512" t="s">
        <v>292</v>
      </c>
      <c r="I1145" s="512"/>
      <c r="J1145" s="512" t="s">
        <v>247</v>
      </c>
      <c r="K1145" s="512" t="b">
        <v>1</v>
      </c>
      <c r="L1145" s="512">
        <v>11</v>
      </c>
      <c r="M1145" s="513">
        <v>2033</v>
      </c>
      <c r="N1145" s="514">
        <v>0</v>
      </c>
      <c r="O1145" s="515">
        <v>44620</v>
      </c>
      <c r="P1145" s="515">
        <v>44620</v>
      </c>
      <c r="Q1145" s="516">
        <v>0</v>
      </c>
    </row>
    <row r="1146" spans="1:17" ht="16.5">
      <c r="A1146" s="9">
        <v>2022</v>
      </c>
      <c r="B1146" s="10" t="s">
        <v>748</v>
      </c>
      <c r="C1146" s="511" t="s">
        <v>749</v>
      </c>
      <c r="D1146" s="512">
        <v>218000</v>
      </c>
      <c r="E1146" s="512">
        <v>0</v>
      </c>
      <c r="F1146" s="512"/>
      <c r="G1146" s="512">
        <v>101200</v>
      </c>
      <c r="H1146" s="512" t="s">
        <v>292</v>
      </c>
      <c r="I1146" s="512"/>
      <c r="J1146" s="512" t="s">
        <v>247</v>
      </c>
      <c r="K1146" s="512" t="b">
        <v>1</v>
      </c>
      <c r="L1146" s="512">
        <v>3</v>
      </c>
      <c r="M1146" s="513">
        <v>2025</v>
      </c>
      <c r="N1146" s="514">
        <v>1000000</v>
      </c>
      <c r="O1146" s="515">
        <v>44620</v>
      </c>
      <c r="P1146" s="515">
        <v>44620</v>
      </c>
      <c r="Q1146" s="516">
        <v>0</v>
      </c>
    </row>
    <row r="1147" spans="1:17" ht="16.5">
      <c r="A1147" s="9">
        <v>2022</v>
      </c>
      <c r="B1147" s="10" t="s">
        <v>748</v>
      </c>
      <c r="C1147" s="511" t="s">
        <v>749</v>
      </c>
      <c r="D1147" s="512">
        <v>218000</v>
      </c>
      <c r="E1147" s="512">
        <v>0</v>
      </c>
      <c r="F1147" s="512"/>
      <c r="G1147" s="512">
        <v>31000</v>
      </c>
      <c r="H1147" s="512">
        <v>3.1</v>
      </c>
      <c r="I1147" s="512"/>
      <c r="J1147" s="512" t="s">
        <v>202</v>
      </c>
      <c r="K1147" s="512" t="b">
        <v>0</v>
      </c>
      <c r="L1147" s="512">
        <v>2</v>
      </c>
      <c r="M1147" s="513">
        <v>2024</v>
      </c>
      <c r="N1147" s="514">
        <v>1915000</v>
      </c>
      <c r="O1147" s="515">
        <v>44620</v>
      </c>
      <c r="P1147" s="515">
        <v>44620</v>
      </c>
      <c r="Q1147" s="516">
        <v>0</v>
      </c>
    </row>
    <row r="1148" spans="1:17" ht="16.5">
      <c r="A1148" s="9">
        <v>2022</v>
      </c>
      <c r="B1148" s="10" t="s">
        <v>748</v>
      </c>
      <c r="C1148" s="511" t="s">
        <v>749</v>
      </c>
      <c r="D1148" s="512">
        <v>218000</v>
      </c>
      <c r="E1148" s="512">
        <v>0</v>
      </c>
      <c r="F1148" s="512"/>
      <c r="G1148" s="512">
        <v>31000</v>
      </c>
      <c r="H1148" s="512">
        <v>3.1</v>
      </c>
      <c r="I1148" s="512"/>
      <c r="J1148" s="512" t="s">
        <v>202</v>
      </c>
      <c r="K1148" s="512" t="b">
        <v>0</v>
      </c>
      <c r="L1148" s="512">
        <v>11</v>
      </c>
      <c r="M1148" s="513">
        <v>2033</v>
      </c>
      <c r="N1148" s="514">
        <v>1750000</v>
      </c>
      <c r="O1148" s="515">
        <v>44620</v>
      </c>
      <c r="P1148" s="515">
        <v>44620</v>
      </c>
      <c r="Q1148" s="516">
        <v>0</v>
      </c>
    </row>
    <row r="1149" spans="1:17" ht="16.5">
      <c r="A1149" s="9">
        <v>2022</v>
      </c>
      <c r="B1149" s="10" t="s">
        <v>748</v>
      </c>
      <c r="C1149" s="511" t="s">
        <v>749</v>
      </c>
      <c r="D1149" s="512">
        <v>218000</v>
      </c>
      <c r="E1149" s="512">
        <v>0</v>
      </c>
      <c r="F1149" s="512"/>
      <c r="G1149" s="512">
        <v>31000</v>
      </c>
      <c r="H1149" s="512">
        <v>3.1</v>
      </c>
      <c r="I1149" s="512"/>
      <c r="J1149" s="512" t="s">
        <v>202</v>
      </c>
      <c r="K1149" s="512" t="b">
        <v>0</v>
      </c>
      <c r="L1149" s="512">
        <v>0</v>
      </c>
      <c r="M1149" s="513">
        <v>2022</v>
      </c>
      <c r="N1149" s="514">
        <v>0</v>
      </c>
      <c r="O1149" s="515">
        <v>44620</v>
      </c>
      <c r="P1149" s="515">
        <v>44620</v>
      </c>
      <c r="Q1149" s="516">
        <v>0</v>
      </c>
    </row>
    <row r="1150" spans="1:17" ht="16.5">
      <c r="A1150" s="9">
        <v>2022</v>
      </c>
      <c r="B1150" s="10" t="s">
        <v>748</v>
      </c>
      <c r="C1150" s="511" t="s">
        <v>749</v>
      </c>
      <c r="D1150" s="512">
        <v>218000</v>
      </c>
      <c r="E1150" s="512">
        <v>0</v>
      </c>
      <c r="F1150" s="512"/>
      <c r="G1150" s="512">
        <v>31000</v>
      </c>
      <c r="H1150" s="512">
        <v>3.1</v>
      </c>
      <c r="I1150" s="512"/>
      <c r="J1150" s="512" t="s">
        <v>202</v>
      </c>
      <c r="K1150" s="512" t="b">
        <v>0</v>
      </c>
      <c r="L1150" s="512">
        <v>10</v>
      </c>
      <c r="M1150" s="513">
        <v>2032</v>
      </c>
      <c r="N1150" s="514">
        <v>1750000</v>
      </c>
      <c r="O1150" s="515">
        <v>44620</v>
      </c>
      <c r="P1150" s="515">
        <v>44620</v>
      </c>
      <c r="Q1150" s="516">
        <v>0</v>
      </c>
    </row>
    <row r="1151" spans="1:17" ht="16.5">
      <c r="A1151" s="9">
        <v>2022</v>
      </c>
      <c r="B1151" s="10" t="s">
        <v>748</v>
      </c>
      <c r="C1151" s="511" t="s">
        <v>749</v>
      </c>
      <c r="D1151" s="512">
        <v>218000</v>
      </c>
      <c r="E1151" s="512">
        <v>0</v>
      </c>
      <c r="F1151" s="512"/>
      <c r="G1151" s="512">
        <v>31000</v>
      </c>
      <c r="H1151" s="512">
        <v>3.1</v>
      </c>
      <c r="I1151" s="512"/>
      <c r="J1151" s="512" t="s">
        <v>202</v>
      </c>
      <c r="K1151" s="512" t="b">
        <v>0</v>
      </c>
      <c r="L1151" s="512">
        <v>1</v>
      </c>
      <c r="M1151" s="513">
        <v>2023</v>
      </c>
      <c r="N1151" s="514">
        <v>1000000</v>
      </c>
      <c r="O1151" s="515">
        <v>44620</v>
      </c>
      <c r="P1151" s="515">
        <v>44620</v>
      </c>
      <c r="Q1151" s="516">
        <v>0</v>
      </c>
    </row>
    <row r="1152" spans="1:17" ht="16.5">
      <c r="A1152" s="9">
        <v>2022</v>
      </c>
      <c r="B1152" s="10" t="s">
        <v>748</v>
      </c>
      <c r="C1152" s="511" t="s">
        <v>749</v>
      </c>
      <c r="D1152" s="512">
        <v>218000</v>
      </c>
      <c r="E1152" s="512">
        <v>0</v>
      </c>
      <c r="F1152" s="512"/>
      <c r="G1152" s="512">
        <v>31000</v>
      </c>
      <c r="H1152" s="512">
        <v>3.1</v>
      </c>
      <c r="I1152" s="512"/>
      <c r="J1152" s="512" t="s">
        <v>202</v>
      </c>
      <c r="K1152" s="512" t="b">
        <v>0</v>
      </c>
      <c r="L1152" s="512">
        <v>7</v>
      </c>
      <c r="M1152" s="513">
        <v>2029</v>
      </c>
      <c r="N1152" s="514">
        <v>1500000</v>
      </c>
      <c r="O1152" s="515">
        <v>44620</v>
      </c>
      <c r="P1152" s="515">
        <v>44620</v>
      </c>
      <c r="Q1152" s="516">
        <v>0</v>
      </c>
    </row>
    <row r="1153" spans="1:17" ht="16.5">
      <c r="A1153" s="9">
        <v>2022</v>
      </c>
      <c r="B1153" s="10" t="s">
        <v>748</v>
      </c>
      <c r="C1153" s="511" t="s">
        <v>749</v>
      </c>
      <c r="D1153" s="512">
        <v>218000</v>
      </c>
      <c r="E1153" s="512">
        <v>0</v>
      </c>
      <c r="F1153" s="512"/>
      <c r="G1153" s="512">
        <v>31000</v>
      </c>
      <c r="H1153" s="512">
        <v>3.1</v>
      </c>
      <c r="I1153" s="512"/>
      <c r="J1153" s="512" t="s">
        <v>202</v>
      </c>
      <c r="K1153" s="512" t="b">
        <v>0</v>
      </c>
      <c r="L1153" s="512">
        <v>3</v>
      </c>
      <c r="M1153" s="513">
        <v>2025</v>
      </c>
      <c r="N1153" s="514">
        <v>2000000</v>
      </c>
      <c r="O1153" s="515">
        <v>44620</v>
      </c>
      <c r="P1153" s="515">
        <v>44620</v>
      </c>
      <c r="Q1153" s="516">
        <v>0</v>
      </c>
    </row>
    <row r="1154" spans="1:17" ht="16.5">
      <c r="A1154" s="9">
        <v>2022</v>
      </c>
      <c r="B1154" s="10" t="s">
        <v>748</v>
      </c>
      <c r="C1154" s="511" t="s">
        <v>749</v>
      </c>
      <c r="D1154" s="512">
        <v>218000</v>
      </c>
      <c r="E1154" s="512">
        <v>0</v>
      </c>
      <c r="F1154" s="512"/>
      <c r="G1154" s="512">
        <v>31000</v>
      </c>
      <c r="H1154" s="512">
        <v>3.1</v>
      </c>
      <c r="I1154" s="512"/>
      <c r="J1154" s="512" t="s">
        <v>202</v>
      </c>
      <c r="K1154" s="512" t="b">
        <v>0</v>
      </c>
      <c r="L1154" s="512">
        <v>8</v>
      </c>
      <c r="M1154" s="513">
        <v>2030</v>
      </c>
      <c r="N1154" s="514">
        <v>1500000</v>
      </c>
      <c r="O1154" s="515">
        <v>44620</v>
      </c>
      <c r="P1154" s="515">
        <v>44620</v>
      </c>
      <c r="Q1154" s="516">
        <v>0</v>
      </c>
    </row>
    <row r="1155" spans="1:17" ht="16.5">
      <c r="A1155" s="9">
        <v>2022</v>
      </c>
      <c r="B1155" s="10" t="s">
        <v>748</v>
      </c>
      <c r="C1155" s="511" t="s">
        <v>749</v>
      </c>
      <c r="D1155" s="512">
        <v>218000</v>
      </c>
      <c r="E1155" s="512">
        <v>0</v>
      </c>
      <c r="F1155" s="512"/>
      <c r="G1155" s="512">
        <v>31000</v>
      </c>
      <c r="H1155" s="512">
        <v>3.1</v>
      </c>
      <c r="I1155" s="512"/>
      <c r="J1155" s="512" t="s">
        <v>202</v>
      </c>
      <c r="K1155" s="512" t="b">
        <v>0</v>
      </c>
      <c r="L1155" s="512">
        <v>9</v>
      </c>
      <c r="M1155" s="513">
        <v>2031</v>
      </c>
      <c r="N1155" s="514">
        <v>1500000</v>
      </c>
      <c r="O1155" s="515">
        <v>44620</v>
      </c>
      <c r="P1155" s="515">
        <v>44620</v>
      </c>
      <c r="Q1155" s="516">
        <v>0</v>
      </c>
    </row>
    <row r="1156" spans="1:17" ht="16.5">
      <c r="A1156" s="9">
        <v>2022</v>
      </c>
      <c r="B1156" s="10" t="s">
        <v>748</v>
      </c>
      <c r="C1156" s="511" t="s">
        <v>749</v>
      </c>
      <c r="D1156" s="512">
        <v>218000</v>
      </c>
      <c r="E1156" s="512">
        <v>0</v>
      </c>
      <c r="F1156" s="512"/>
      <c r="G1156" s="512">
        <v>31000</v>
      </c>
      <c r="H1156" s="512">
        <v>3.1</v>
      </c>
      <c r="I1156" s="512"/>
      <c r="J1156" s="512" t="s">
        <v>202</v>
      </c>
      <c r="K1156" s="512" t="b">
        <v>0</v>
      </c>
      <c r="L1156" s="512">
        <v>5</v>
      </c>
      <c r="M1156" s="513">
        <v>2027</v>
      </c>
      <c r="N1156" s="514">
        <v>2000000</v>
      </c>
      <c r="O1156" s="515">
        <v>44620</v>
      </c>
      <c r="P1156" s="515">
        <v>44620</v>
      </c>
      <c r="Q1156" s="516">
        <v>0</v>
      </c>
    </row>
    <row r="1157" spans="1:17" ht="16.5">
      <c r="A1157" s="9">
        <v>2022</v>
      </c>
      <c r="B1157" s="10" t="s">
        <v>748</v>
      </c>
      <c r="C1157" s="511" t="s">
        <v>749</v>
      </c>
      <c r="D1157" s="512">
        <v>218000</v>
      </c>
      <c r="E1157" s="512">
        <v>0</v>
      </c>
      <c r="F1157" s="512"/>
      <c r="G1157" s="512">
        <v>31000</v>
      </c>
      <c r="H1157" s="512">
        <v>3.1</v>
      </c>
      <c r="I1157" s="512"/>
      <c r="J1157" s="512" t="s">
        <v>202</v>
      </c>
      <c r="K1157" s="512" t="b">
        <v>0</v>
      </c>
      <c r="L1157" s="512">
        <v>6</v>
      </c>
      <c r="M1157" s="513">
        <v>2028</v>
      </c>
      <c r="N1157" s="514">
        <v>1500000</v>
      </c>
      <c r="O1157" s="515">
        <v>44620</v>
      </c>
      <c r="P1157" s="515">
        <v>44620</v>
      </c>
      <c r="Q1157" s="516">
        <v>0</v>
      </c>
    </row>
    <row r="1158" spans="1:17" ht="16.5">
      <c r="A1158" s="9">
        <v>2022</v>
      </c>
      <c r="B1158" s="10" t="s">
        <v>748</v>
      </c>
      <c r="C1158" s="511" t="s">
        <v>749</v>
      </c>
      <c r="D1158" s="512">
        <v>218000</v>
      </c>
      <c r="E1158" s="512">
        <v>0</v>
      </c>
      <c r="F1158" s="512"/>
      <c r="G1158" s="512">
        <v>31000</v>
      </c>
      <c r="H1158" s="512">
        <v>3.1</v>
      </c>
      <c r="I1158" s="512"/>
      <c r="J1158" s="512" t="s">
        <v>202</v>
      </c>
      <c r="K1158" s="512" t="b">
        <v>0</v>
      </c>
      <c r="L1158" s="512">
        <v>4</v>
      </c>
      <c r="M1158" s="513">
        <v>2026</v>
      </c>
      <c r="N1158" s="514">
        <v>2000000</v>
      </c>
      <c r="O1158" s="515">
        <v>44620</v>
      </c>
      <c r="P1158" s="515">
        <v>44620</v>
      </c>
      <c r="Q1158" s="516">
        <v>0</v>
      </c>
    </row>
    <row r="1159" spans="1:17" ht="16.5">
      <c r="A1159" s="9">
        <v>2022</v>
      </c>
      <c r="B1159" s="10" t="s">
        <v>748</v>
      </c>
      <c r="C1159" s="511" t="s">
        <v>749</v>
      </c>
      <c r="D1159" s="512">
        <v>218000</v>
      </c>
      <c r="E1159" s="512">
        <v>0</v>
      </c>
      <c r="F1159" s="512"/>
      <c r="G1159" s="512">
        <v>81000</v>
      </c>
      <c r="H1159" s="512">
        <v>8.1</v>
      </c>
      <c r="I1159" s="512"/>
      <c r="J1159" s="512" t="s">
        <v>223</v>
      </c>
      <c r="K1159" s="512" t="b">
        <v>1</v>
      </c>
      <c r="L1159" s="512">
        <v>3</v>
      </c>
      <c r="M1159" s="513">
        <v>2025</v>
      </c>
      <c r="N1159" s="514">
        <v>6.0699999999999997E-2</v>
      </c>
      <c r="O1159" s="515">
        <v>44620</v>
      </c>
      <c r="P1159" s="515">
        <v>44620</v>
      </c>
      <c r="Q1159" s="516">
        <v>0</v>
      </c>
    </row>
    <row r="1160" spans="1:17" ht="16.5">
      <c r="A1160" s="9">
        <v>2022</v>
      </c>
      <c r="B1160" s="10" t="s">
        <v>748</v>
      </c>
      <c r="C1160" s="511" t="s">
        <v>749</v>
      </c>
      <c r="D1160" s="512">
        <v>218000</v>
      </c>
      <c r="E1160" s="512">
        <v>0</v>
      </c>
      <c r="F1160" s="512"/>
      <c r="G1160" s="512">
        <v>81000</v>
      </c>
      <c r="H1160" s="512">
        <v>8.1</v>
      </c>
      <c r="I1160" s="512"/>
      <c r="J1160" s="512" t="s">
        <v>223</v>
      </c>
      <c r="K1160" s="512" t="b">
        <v>1</v>
      </c>
      <c r="L1160" s="512">
        <v>0</v>
      </c>
      <c r="M1160" s="513">
        <v>2022</v>
      </c>
      <c r="N1160" s="514">
        <v>9.7999999999999997E-3</v>
      </c>
      <c r="O1160" s="515">
        <v>44620</v>
      </c>
      <c r="P1160" s="515">
        <v>44620</v>
      </c>
      <c r="Q1160" s="516">
        <v>0</v>
      </c>
    </row>
    <row r="1161" spans="1:17" ht="16.5">
      <c r="A1161" s="9">
        <v>2022</v>
      </c>
      <c r="B1161" s="10" t="s">
        <v>748</v>
      </c>
      <c r="C1161" s="511" t="s">
        <v>749</v>
      </c>
      <c r="D1161" s="512">
        <v>218000</v>
      </c>
      <c r="E1161" s="512">
        <v>0</v>
      </c>
      <c r="F1161" s="512"/>
      <c r="G1161" s="512">
        <v>81000</v>
      </c>
      <c r="H1161" s="512">
        <v>8.1</v>
      </c>
      <c r="I1161" s="512"/>
      <c r="J1161" s="512" t="s">
        <v>223</v>
      </c>
      <c r="K1161" s="512" t="b">
        <v>1</v>
      </c>
      <c r="L1161" s="512">
        <v>1</v>
      </c>
      <c r="M1161" s="513">
        <v>2023</v>
      </c>
      <c r="N1161" s="514">
        <v>6.83E-2</v>
      </c>
      <c r="O1161" s="515">
        <v>44620</v>
      </c>
      <c r="P1161" s="515">
        <v>44620</v>
      </c>
      <c r="Q1161" s="516">
        <v>0</v>
      </c>
    </row>
    <row r="1162" spans="1:17" ht="16.5">
      <c r="A1162" s="9">
        <v>2022</v>
      </c>
      <c r="B1162" s="10" t="s">
        <v>748</v>
      </c>
      <c r="C1162" s="511" t="s">
        <v>749</v>
      </c>
      <c r="D1162" s="512">
        <v>218000</v>
      </c>
      <c r="E1162" s="512">
        <v>0</v>
      </c>
      <c r="F1162" s="512"/>
      <c r="G1162" s="512">
        <v>81000</v>
      </c>
      <c r="H1162" s="512">
        <v>8.1</v>
      </c>
      <c r="I1162" s="512"/>
      <c r="J1162" s="512" t="s">
        <v>223</v>
      </c>
      <c r="K1162" s="512" t="b">
        <v>1</v>
      </c>
      <c r="L1162" s="512">
        <v>9</v>
      </c>
      <c r="M1162" s="513">
        <v>2031</v>
      </c>
      <c r="N1162" s="514">
        <v>3.3799999999999997E-2</v>
      </c>
      <c r="O1162" s="515">
        <v>44620</v>
      </c>
      <c r="P1162" s="515">
        <v>44620</v>
      </c>
      <c r="Q1162" s="516">
        <v>0</v>
      </c>
    </row>
    <row r="1163" spans="1:17" ht="16.5">
      <c r="A1163" s="9">
        <v>2022</v>
      </c>
      <c r="B1163" s="10" t="s">
        <v>748</v>
      </c>
      <c r="C1163" s="511" t="s">
        <v>749</v>
      </c>
      <c r="D1163" s="512">
        <v>218000</v>
      </c>
      <c r="E1163" s="512">
        <v>0</v>
      </c>
      <c r="F1163" s="512"/>
      <c r="G1163" s="512">
        <v>81000</v>
      </c>
      <c r="H1163" s="512">
        <v>8.1</v>
      </c>
      <c r="I1163" s="512"/>
      <c r="J1163" s="512" t="s">
        <v>223</v>
      </c>
      <c r="K1163" s="512" t="b">
        <v>1</v>
      </c>
      <c r="L1163" s="512">
        <v>8</v>
      </c>
      <c r="M1163" s="513">
        <v>2030</v>
      </c>
      <c r="N1163" s="514">
        <v>3.5499999999999997E-2</v>
      </c>
      <c r="O1163" s="515">
        <v>44620</v>
      </c>
      <c r="P1163" s="515">
        <v>44620</v>
      </c>
      <c r="Q1163" s="516">
        <v>0</v>
      </c>
    </row>
    <row r="1164" spans="1:17" ht="16.5">
      <c r="A1164" s="9">
        <v>2022</v>
      </c>
      <c r="B1164" s="10" t="s">
        <v>748</v>
      </c>
      <c r="C1164" s="511" t="s">
        <v>749</v>
      </c>
      <c r="D1164" s="512">
        <v>218000</v>
      </c>
      <c r="E1164" s="512">
        <v>0</v>
      </c>
      <c r="F1164" s="512"/>
      <c r="G1164" s="512">
        <v>81000</v>
      </c>
      <c r="H1164" s="512">
        <v>8.1</v>
      </c>
      <c r="I1164" s="512"/>
      <c r="J1164" s="512" t="s">
        <v>223</v>
      </c>
      <c r="K1164" s="512" t="b">
        <v>1</v>
      </c>
      <c r="L1164" s="512">
        <v>5</v>
      </c>
      <c r="M1164" s="513">
        <v>2027</v>
      </c>
      <c r="N1164" s="514">
        <v>5.3699999999999998E-2</v>
      </c>
      <c r="O1164" s="515">
        <v>44620</v>
      </c>
      <c r="P1164" s="515">
        <v>44620</v>
      </c>
      <c r="Q1164" s="516">
        <v>0</v>
      </c>
    </row>
    <row r="1165" spans="1:17" ht="16.5">
      <c r="A1165" s="9">
        <v>2022</v>
      </c>
      <c r="B1165" s="10" t="s">
        <v>748</v>
      </c>
      <c r="C1165" s="511" t="s">
        <v>749</v>
      </c>
      <c r="D1165" s="512">
        <v>218000</v>
      </c>
      <c r="E1165" s="512">
        <v>0</v>
      </c>
      <c r="F1165" s="512"/>
      <c r="G1165" s="512">
        <v>81000</v>
      </c>
      <c r="H1165" s="512">
        <v>8.1</v>
      </c>
      <c r="I1165" s="512"/>
      <c r="J1165" s="512" t="s">
        <v>223</v>
      </c>
      <c r="K1165" s="512" t="b">
        <v>1</v>
      </c>
      <c r="L1165" s="512">
        <v>4</v>
      </c>
      <c r="M1165" s="513">
        <v>2026</v>
      </c>
      <c r="N1165" s="514">
        <v>5.7099999999999998E-2</v>
      </c>
      <c r="O1165" s="515">
        <v>44620</v>
      </c>
      <c r="P1165" s="515">
        <v>44620</v>
      </c>
      <c r="Q1165" s="516">
        <v>0</v>
      </c>
    </row>
    <row r="1166" spans="1:17" ht="16.5">
      <c r="A1166" s="9">
        <v>2022</v>
      </c>
      <c r="B1166" s="10" t="s">
        <v>748</v>
      </c>
      <c r="C1166" s="511" t="s">
        <v>749</v>
      </c>
      <c r="D1166" s="512">
        <v>218000</v>
      </c>
      <c r="E1166" s="512">
        <v>0</v>
      </c>
      <c r="F1166" s="512"/>
      <c r="G1166" s="512">
        <v>81000</v>
      </c>
      <c r="H1166" s="512">
        <v>8.1</v>
      </c>
      <c r="I1166" s="512"/>
      <c r="J1166" s="512" t="s">
        <v>223</v>
      </c>
      <c r="K1166" s="512" t="b">
        <v>1</v>
      </c>
      <c r="L1166" s="512">
        <v>7</v>
      </c>
      <c r="M1166" s="513">
        <v>2029</v>
      </c>
      <c r="N1166" s="514">
        <v>3.7400000000000003E-2</v>
      </c>
      <c r="O1166" s="515">
        <v>44620</v>
      </c>
      <c r="P1166" s="515">
        <v>44620</v>
      </c>
      <c r="Q1166" s="516">
        <v>0</v>
      </c>
    </row>
    <row r="1167" spans="1:17" ht="16.5">
      <c r="A1167" s="9">
        <v>2022</v>
      </c>
      <c r="B1167" s="10" t="s">
        <v>748</v>
      </c>
      <c r="C1167" s="511" t="s">
        <v>749</v>
      </c>
      <c r="D1167" s="512">
        <v>218000</v>
      </c>
      <c r="E1167" s="512">
        <v>0</v>
      </c>
      <c r="F1167" s="512"/>
      <c r="G1167" s="512">
        <v>81000</v>
      </c>
      <c r="H1167" s="512">
        <v>8.1</v>
      </c>
      <c r="I1167" s="512"/>
      <c r="J1167" s="512" t="s">
        <v>223</v>
      </c>
      <c r="K1167" s="512" t="b">
        <v>1</v>
      </c>
      <c r="L1167" s="512">
        <v>11</v>
      </c>
      <c r="M1167" s="513">
        <v>2033</v>
      </c>
      <c r="N1167" s="514">
        <v>3.4799999999999998E-2</v>
      </c>
      <c r="O1167" s="515">
        <v>44620</v>
      </c>
      <c r="P1167" s="515">
        <v>44620</v>
      </c>
      <c r="Q1167" s="516">
        <v>0</v>
      </c>
    </row>
    <row r="1168" spans="1:17" ht="16.5">
      <c r="A1168" s="9">
        <v>2022</v>
      </c>
      <c r="B1168" s="10" t="s">
        <v>748</v>
      </c>
      <c r="C1168" s="511" t="s">
        <v>749</v>
      </c>
      <c r="D1168" s="512">
        <v>218000</v>
      </c>
      <c r="E1168" s="512">
        <v>0</v>
      </c>
      <c r="F1168" s="512"/>
      <c r="G1168" s="512">
        <v>81000</v>
      </c>
      <c r="H1168" s="512">
        <v>8.1</v>
      </c>
      <c r="I1168" s="512"/>
      <c r="J1168" s="512" t="s">
        <v>223</v>
      </c>
      <c r="K1168" s="512" t="b">
        <v>1</v>
      </c>
      <c r="L1168" s="512">
        <v>10</v>
      </c>
      <c r="M1168" s="513">
        <v>2032</v>
      </c>
      <c r="N1168" s="514">
        <v>3.6999999999999998E-2</v>
      </c>
      <c r="O1168" s="515">
        <v>44620</v>
      </c>
      <c r="P1168" s="515">
        <v>44620</v>
      </c>
      <c r="Q1168" s="516">
        <v>0</v>
      </c>
    </row>
    <row r="1169" spans="1:17" ht="16.5">
      <c r="A1169" s="9">
        <v>2022</v>
      </c>
      <c r="B1169" s="10" t="s">
        <v>748</v>
      </c>
      <c r="C1169" s="511" t="s">
        <v>749</v>
      </c>
      <c r="D1169" s="512">
        <v>218000</v>
      </c>
      <c r="E1169" s="512">
        <v>0</v>
      </c>
      <c r="F1169" s="512"/>
      <c r="G1169" s="512">
        <v>107300</v>
      </c>
      <c r="H1169" s="512" t="s">
        <v>297</v>
      </c>
      <c r="I1169" s="512"/>
      <c r="J1169" s="512" t="s">
        <v>258</v>
      </c>
      <c r="K1169" s="512" t="b">
        <v>1</v>
      </c>
      <c r="L1169" s="512">
        <v>0</v>
      </c>
      <c r="M1169" s="513">
        <v>2022</v>
      </c>
      <c r="N1169" s="514">
        <v>0</v>
      </c>
      <c r="O1169" s="515">
        <v>44620</v>
      </c>
      <c r="P1169" s="515">
        <v>44620</v>
      </c>
      <c r="Q1169" s="516">
        <v>0</v>
      </c>
    </row>
    <row r="1170" spans="1:17" ht="16.5">
      <c r="A1170" s="9">
        <v>2022</v>
      </c>
      <c r="B1170" s="10" t="s">
        <v>748</v>
      </c>
      <c r="C1170" s="511" t="s">
        <v>749</v>
      </c>
      <c r="D1170" s="512">
        <v>218000</v>
      </c>
      <c r="E1170" s="512">
        <v>0</v>
      </c>
      <c r="F1170" s="512"/>
      <c r="G1170" s="512">
        <v>81000</v>
      </c>
      <c r="H1170" s="512">
        <v>8.1</v>
      </c>
      <c r="I1170" s="512"/>
      <c r="J1170" s="512" t="s">
        <v>223</v>
      </c>
      <c r="K1170" s="512" t="b">
        <v>1</v>
      </c>
      <c r="L1170" s="512">
        <v>6</v>
      </c>
      <c r="M1170" s="513">
        <v>2028</v>
      </c>
      <c r="N1170" s="514">
        <v>3.95E-2</v>
      </c>
      <c r="O1170" s="515">
        <v>44620</v>
      </c>
      <c r="P1170" s="515">
        <v>44620</v>
      </c>
      <c r="Q1170" s="516">
        <v>0</v>
      </c>
    </row>
    <row r="1171" spans="1:17" ht="16.5">
      <c r="A1171" s="9">
        <v>2022</v>
      </c>
      <c r="B1171" s="10" t="s">
        <v>748</v>
      </c>
      <c r="C1171" s="511" t="s">
        <v>749</v>
      </c>
      <c r="D1171" s="512">
        <v>218000</v>
      </c>
      <c r="E1171" s="512">
        <v>0</v>
      </c>
      <c r="F1171" s="512"/>
      <c r="G1171" s="512">
        <v>81000</v>
      </c>
      <c r="H1171" s="512">
        <v>8.1</v>
      </c>
      <c r="I1171" s="512"/>
      <c r="J1171" s="512" t="s">
        <v>223</v>
      </c>
      <c r="K1171" s="512" t="b">
        <v>1</v>
      </c>
      <c r="L1171" s="512">
        <v>2</v>
      </c>
      <c r="M1171" s="513">
        <v>2024</v>
      </c>
      <c r="N1171" s="514">
        <v>6.2199999999999998E-2</v>
      </c>
      <c r="O1171" s="515">
        <v>44620</v>
      </c>
      <c r="P1171" s="515">
        <v>44620</v>
      </c>
      <c r="Q1171" s="516">
        <v>0</v>
      </c>
    </row>
    <row r="1172" spans="1:17" ht="16.5">
      <c r="A1172" s="9">
        <v>2022</v>
      </c>
      <c r="B1172" s="10" t="s">
        <v>748</v>
      </c>
      <c r="C1172" s="511" t="s">
        <v>749</v>
      </c>
      <c r="D1172" s="512">
        <v>218000</v>
      </c>
      <c r="E1172" s="512">
        <v>0</v>
      </c>
      <c r="F1172" s="512"/>
      <c r="G1172" s="512">
        <v>51000</v>
      </c>
      <c r="H1172" s="512">
        <v>5.0999999999999996</v>
      </c>
      <c r="I1172" s="512"/>
      <c r="J1172" s="512" t="s">
        <v>210</v>
      </c>
      <c r="K1172" s="512" t="b">
        <v>1</v>
      </c>
      <c r="L1172" s="512">
        <v>11</v>
      </c>
      <c r="M1172" s="513">
        <v>2033</v>
      </c>
      <c r="N1172" s="514">
        <v>1750000</v>
      </c>
      <c r="O1172" s="515">
        <v>44620</v>
      </c>
      <c r="P1172" s="515">
        <v>44620</v>
      </c>
      <c r="Q1172" s="516">
        <v>0</v>
      </c>
    </row>
    <row r="1173" spans="1:17" ht="16.5">
      <c r="A1173" s="9">
        <v>2022</v>
      </c>
      <c r="B1173" s="10" t="s">
        <v>748</v>
      </c>
      <c r="C1173" s="511" t="s">
        <v>749</v>
      </c>
      <c r="D1173" s="512">
        <v>218000</v>
      </c>
      <c r="E1173" s="512">
        <v>0</v>
      </c>
      <c r="F1173" s="512"/>
      <c r="G1173" s="512">
        <v>51000</v>
      </c>
      <c r="H1173" s="512">
        <v>5.0999999999999996</v>
      </c>
      <c r="I1173" s="512"/>
      <c r="J1173" s="512" t="s">
        <v>210</v>
      </c>
      <c r="K1173" s="512" t="b">
        <v>1</v>
      </c>
      <c r="L1173" s="512">
        <v>2</v>
      </c>
      <c r="M1173" s="513">
        <v>2024</v>
      </c>
      <c r="N1173" s="514">
        <v>1915000</v>
      </c>
      <c r="O1173" s="515">
        <v>44620</v>
      </c>
      <c r="P1173" s="515">
        <v>44620</v>
      </c>
      <c r="Q1173" s="516">
        <v>0</v>
      </c>
    </row>
    <row r="1174" spans="1:17" ht="16.5">
      <c r="A1174" s="9">
        <v>2022</v>
      </c>
      <c r="B1174" s="10" t="s">
        <v>748</v>
      </c>
      <c r="C1174" s="511" t="s">
        <v>749</v>
      </c>
      <c r="D1174" s="512">
        <v>218000</v>
      </c>
      <c r="E1174" s="512">
        <v>0</v>
      </c>
      <c r="F1174" s="512"/>
      <c r="G1174" s="512">
        <v>51000</v>
      </c>
      <c r="H1174" s="512">
        <v>5.0999999999999996</v>
      </c>
      <c r="I1174" s="512"/>
      <c r="J1174" s="512" t="s">
        <v>210</v>
      </c>
      <c r="K1174" s="512" t="b">
        <v>1</v>
      </c>
      <c r="L1174" s="512">
        <v>10</v>
      </c>
      <c r="M1174" s="513">
        <v>2032</v>
      </c>
      <c r="N1174" s="514">
        <v>1750000</v>
      </c>
      <c r="O1174" s="515">
        <v>44620</v>
      </c>
      <c r="P1174" s="515">
        <v>44620</v>
      </c>
      <c r="Q1174" s="516">
        <v>0</v>
      </c>
    </row>
    <row r="1175" spans="1:17" ht="16.5">
      <c r="A1175" s="9">
        <v>2022</v>
      </c>
      <c r="B1175" s="10" t="s">
        <v>748</v>
      </c>
      <c r="C1175" s="511" t="s">
        <v>749</v>
      </c>
      <c r="D1175" s="512">
        <v>218000</v>
      </c>
      <c r="E1175" s="512">
        <v>0</v>
      </c>
      <c r="F1175" s="512"/>
      <c r="G1175" s="512">
        <v>51000</v>
      </c>
      <c r="H1175" s="512">
        <v>5.0999999999999996</v>
      </c>
      <c r="I1175" s="512"/>
      <c r="J1175" s="512" t="s">
        <v>210</v>
      </c>
      <c r="K1175" s="512" t="b">
        <v>1</v>
      </c>
      <c r="L1175" s="512">
        <v>6</v>
      </c>
      <c r="M1175" s="513">
        <v>2028</v>
      </c>
      <c r="N1175" s="514">
        <v>1500000</v>
      </c>
      <c r="O1175" s="515">
        <v>44620</v>
      </c>
      <c r="P1175" s="515">
        <v>44620</v>
      </c>
      <c r="Q1175" s="516">
        <v>0</v>
      </c>
    </row>
    <row r="1176" spans="1:17" ht="16.5">
      <c r="A1176" s="9">
        <v>2022</v>
      </c>
      <c r="B1176" s="10" t="s">
        <v>748</v>
      </c>
      <c r="C1176" s="511" t="s">
        <v>749</v>
      </c>
      <c r="D1176" s="512">
        <v>218000</v>
      </c>
      <c r="E1176" s="512">
        <v>0</v>
      </c>
      <c r="F1176" s="512"/>
      <c r="G1176" s="512">
        <v>51000</v>
      </c>
      <c r="H1176" s="512">
        <v>5.0999999999999996</v>
      </c>
      <c r="I1176" s="512"/>
      <c r="J1176" s="512" t="s">
        <v>210</v>
      </c>
      <c r="K1176" s="512" t="b">
        <v>1</v>
      </c>
      <c r="L1176" s="512">
        <v>9</v>
      </c>
      <c r="M1176" s="513">
        <v>2031</v>
      </c>
      <c r="N1176" s="514">
        <v>1500000</v>
      </c>
      <c r="O1176" s="515">
        <v>44620</v>
      </c>
      <c r="P1176" s="515">
        <v>44620</v>
      </c>
      <c r="Q1176" s="516">
        <v>0</v>
      </c>
    </row>
    <row r="1177" spans="1:17" ht="16.5">
      <c r="A1177" s="9">
        <v>2022</v>
      </c>
      <c r="B1177" s="10" t="s">
        <v>748</v>
      </c>
      <c r="C1177" s="511" t="s">
        <v>749</v>
      </c>
      <c r="D1177" s="512">
        <v>218000</v>
      </c>
      <c r="E1177" s="512">
        <v>0</v>
      </c>
      <c r="F1177" s="512"/>
      <c r="G1177" s="512">
        <v>51000</v>
      </c>
      <c r="H1177" s="512">
        <v>5.0999999999999996</v>
      </c>
      <c r="I1177" s="512"/>
      <c r="J1177" s="512" t="s">
        <v>210</v>
      </c>
      <c r="K1177" s="512" t="b">
        <v>1</v>
      </c>
      <c r="L1177" s="512">
        <v>3</v>
      </c>
      <c r="M1177" s="513">
        <v>2025</v>
      </c>
      <c r="N1177" s="514">
        <v>2000000</v>
      </c>
      <c r="O1177" s="515">
        <v>44620</v>
      </c>
      <c r="P1177" s="515">
        <v>44620</v>
      </c>
      <c r="Q1177" s="516">
        <v>0</v>
      </c>
    </row>
    <row r="1178" spans="1:17" ht="16.5">
      <c r="A1178" s="9">
        <v>2022</v>
      </c>
      <c r="B1178" s="10" t="s">
        <v>748</v>
      </c>
      <c r="C1178" s="511" t="s">
        <v>749</v>
      </c>
      <c r="D1178" s="512">
        <v>218000</v>
      </c>
      <c r="E1178" s="512">
        <v>0</v>
      </c>
      <c r="F1178" s="512"/>
      <c r="G1178" s="512">
        <v>51000</v>
      </c>
      <c r="H1178" s="512">
        <v>5.0999999999999996</v>
      </c>
      <c r="I1178" s="512"/>
      <c r="J1178" s="512" t="s">
        <v>210</v>
      </c>
      <c r="K1178" s="512" t="b">
        <v>1</v>
      </c>
      <c r="L1178" s="512">
        <v>5</v>
      </c>
      <c r="M1178" s="513">
        <v>2027</v>
      </c>
      <c r="N1178" s="514">
        <v>2000000</v>
      </c>
      <c r="O1178" s="515">
        <v>44620</v>
      </c>
      <c r="P1178" s="515">
        <v>44620</v>
      </c>
      <c r="Q1178" s="516">
        <v>0</v>
      </c>
    </row>
    <row r="1179" spans="1:17" ht="16.5">
      <c r="A1179" s="9">
        <v>2022</v>
      </c>
      <c r="B1179" s="10" t="s">
        <v>748</v>
      </c>
      <c r="C1179" s="511" t="s">
        <v>749</v>
      </c>
      <c r="D1179" s="512">
        <v>218000</v>
      </c>
      <c r="E1179" s="512">
        <v>0</v>
      </c>
      <c r="F1179" s="512"/>
      <c r="G1179" s="512">
        <v>51000</v>
      </c>
      <c r="H1179" s="512">
        <v>5.0999999999999996</v>
      </c>
      <c r="I1179" s="512"/>
      <c r="J1179" s="512" t="s">
        <v>210</v>
      </c>
      <c r="K1179" s="512" t="b">
        <v>1</v>
      </c>
      <c r="L1179" s="512">
        <v>1</v>
      </c>
      <c r="M1179" s="513">
        <v>2023</v>
      </c>
      <c r="N1179" s="514">
        <v>2000000</v>
      </c>
      <c r="O1179" s="515">
        <v>44620</v>
      </c>
      <c r="P1179" s="515">
        <v>44620</v>
      </c>
      <c r="Q1179" s="516">
        <v>0</v>
      </c>
    </row>
    <row r="1180" spans="1:17" ht="16.5">
      <c r="A1180" s="9">
        <v>2022</v>
      </c>
      <c r="B1180" s="10" t="s">
        <v>748</v>
      </c>
      <c r="C1180" s="511" t="s">
        <v>749</v>
      </c>
      <c r="D1180" s="512">
        <v>218000</v>
      </c>
      <c r="E1180" s="512">
        <v>0</v>
      </c>
      <c r="F1180" s="512"/>
      <c r="G1180" s="512">
        <v>51000</v>
      </c>
      <c r="H1180" s="512">
        <v>5.0999999999999996</v>
      </c>
      <c r="I1180" s="512"/>
      <c r="J1180" s="512" t="s">
        <v>210</v>
      </c>
      <c r="K1180" s="512" t="b">
        <v>1</v>
      </c>
      <c r="L1180" s="512">
        <v>7</v>
      </c>
      <c r="M1180" s="513">
        <v>2029</v>
      </c>
      <c r="N1180" s="514">
        <v>1500000</v>
      </c>
      <c r="O1180" s="515">
        <v>44620</v>
      </c>
      <c r="P1180" s="515">
        <v>44620</v>
      </c>
      <c r="Q1180" s="516">
        <v>0</v>
      </c>
    </row>
    <row r="1181" spans="1:17" ht="16.5">
      <c r="A1181" s="9">
        <v>2022</v>
      </c>
      <c r="B1181" s="10" t="s">
        <v>748</v>
      </c>
      <c r="C1181" s="511" t="s">
        <v>749</v>
      </c>
      <c r="D1181" s="512">
        <v>218000</v>
      </c>
      <c r="E1181" s="512">
        <v>0</v>
      </c>
      <c r="F1181" s="512"/>
      <c r="G1181" s="512">
        <v>51000</v>
      </c>
      <c r="H1181" s="512">
        <v>5.0999999999999996</v>
      </c>
      <c r="I1181" s="512"/>
      <c r="J1181" s="512" t="s">
        <v>210</v>
      </c>
      <c r="K1181" s="512" t="b">
        <v>1</v>
      </c>
      <c r="L1181" s="512">
        <v>8</v>
      </c>
      <c r="M1181" s="513">
        <v>2030</v>
      </c>
      <c r="N1181" s="514">
        <v>1500000</v>
      </c>
      <c r="O1181" s="515">
        <v>44620</v>
      </c>
      <c r="P1181" s="515">
        <v>44620</v>
      </c>
      <c r="Q1181" s="516">
        <v>0</v>
      </c>
    </row>
    <row r="1182" spans="1:17" ht="16.5">
      <c r="A1182" s="9">
        <v>2022</v>
      </c>
      <c r="B1182" s="10" t="s">
        <v>748</v>
      </c>
      <c r="C1182" s="511" t="s">
        <v>749</v>
      </c>
      <c r="D1182" s="512">
        <v>218000</v>
      </c>
      <c r="E1182" s="512">
        <v>0</v>
      </c>
      <c r="F1182" s="512"/>
      <c r="G1182" s="512">
        <v>51000</v>
      </c>
      <c r="H1182" s="512">
        <v>5.0999999999999996</v>
      </c>
      <c r="I1182" s="512"/>
      <c r="J1182" s="512" t="s">
        <v>210</v>
      </c>
      <c r="K1182" s="512" t="b">
        <v>1</v>
      </c>
      <c r="L1182" s="512">
        <v>4</v>
      </c>
      <c r="M1182" s="513">
        <v>2026</v>
      </c>
      <c r="N1182" s="514">
        <v>2000000</v>
      </c>
      <c r="O1182" s="515">
        <v>44620</v>
      </c>
      <c r="P1182" s="515">
        <v>44620</v>
      </c>
      <c r="Q1182" s="516">
        <v>0</v>
      </c>
    </row>
    <row r="1183" spans="1:17" ht="16.5">
      <c r="A1183" s="9">
        <v>2022</v>
      </c>
      <c r="B1183" s="10" t="s">
        <v>748</v>
      </c>
      <c r="C1183" s="511" t="s">
        <v>749</v>
      </c>
      <c r="D1183" s="512">
        <v>218000</v>
      </c>
      <c r="E1183" s="512">
        <v>0</v>
      </c>
      <c r="F1183" s="512"/>
      <c r="G1183" s="512">
        <v>51000</v>
      </c>
      <c r="H1183" s="512">
        <v>5.0999999999999996</v>
      </c>
      <c r="I1183" s="512"/>
      <c r="J1183" s="512" t="s">
        <v>210</v>
      </c>
      <c r="K1183" s="512" t="b">
        <v>1</v>
      </c>
      <c r="L1183" s="512">
        <v>0</v>
      </c>
      <c r="M1183" s="513">
        <v>2022</v>
      </c>
      <c r="N1183" s="514">
        <v>0</v>
      </c>
      <c r="O1183" s="515">
        <v>44620</v>
      </c>
      <c r="P1183" s="515">
        <v>44620</v>
      </c>
      <c r="Q1183" s="516">
        <v>0</v>
      </c>
    </row>
    <row r="1184" spans="1:17" ht="16.5">
      <c r="A1184" s="9">
        <v>2022</v>
      </c>
      <c r="B1184" s="10" t="s">
        <v>748</v>
      </c>
      <c r="C1184" s="511" t="s">
        <v>749</v>
      </c>
      <c r="D1184" s="512">
        <v>218000</v>
      </c>
      <c r="E1184" s="512">
        <v>0</v>
      </c>
      <c r="F1184" s="512"/>
      <c r="G1184" s="512">
        <v>107300</v>
      </c>
      <c r="H1184" s="512" t="s">
        <v>297</v>
      </c>
      <c r="I1184" s="512"/>
      <c r="J1184" s="512" t="s">
        <v>258</v>
      </c>
      <c r="K1184" s="512" t="b">
        <v>1</v>
      </c>
      <c r="L1184" s="512">
        <v>1</v>
      </c>
      <c r="M1184" s="513">
        <v>2023</v>
      </c>
      <c r="N1184" s="514">
        <v>0</v>
      </c>
      <c r="O1184" s="515">
        <v>44620</v>
      </c>
      <c r="P1184" s="515">
        <v>44620</v>
      </c>
      <c r="Q1184" s="516">
        <v>0</v>
      </c>
    </row>
    <row r="1185" spans="1:17" ht="16.5">
      <c r="A1185" s="9">
        <v>2022</v>
      </c>
      <c r="B1185" s="10" t="s">
        <v>748</v>
      </c>
      <c r="C1185" s="511" t="s">
        <v>749</v>
      </c>
      <c r="D1185" s="512">
        <v>218000</v>
      </c>
      <c r="E1185" s="512">
        <v>0</v>
      </c>
      <c r="F1185" s="512"/>
      <c r="G1185" s="512">
        <v>107300</v>
      </c>
      <c r="H1185" s="512" t="s">
        <v>297</v>
      </c>
      <c r="I1185" s="512"/>
      <c r="J1185" s="512" t="s">
        <v>258</v>
      </c>
      <c r="K1185" s="512" t="b">
        <v>1</v>
      </c>
      <c r="L1185" s="512">
        <v>2</v>
      </c>
      <c r="M1185" s="513">
        <v>2024</v>
      </c>
      <c r="N1185" s="514">
        <v>0</v>
      </c>
      <c r="O1185" s="515">
        <v>44620</v>
      </c>
      <c r="P1185" s="515">
        <v>44620</v>
      </c>
      <c r="Q1185" s="516">
        <v>0</v>
      </c>
    </row>
    <row r="1186" spans="1:17" ht="16.5">
      <c r="A1186" s="9">
        <v>2022</v>
      </c>
      <c r="B1186" s="10" t="s">
        <v>748</v>
      </c>
      <c r="C1186" s="511" t="s">
        <v>749</v>
      </c>
      <c r="D1186" s="512">
        <v>218000</v>
      </c>
      <c r="E1186" s="512">
        <v>0</v>
      </c>
      <c r="F1186" s="512"/>
      <c r="G1186" s="512">
        <v>107300</v>
      </c>
      <c r="H1186" s="512" t="s">
        <v>297</v>
      </c>
      <c r="I1186" s="512"/>
      <c r="J1186" s="512" t="s">
        <v>258</v>
      </c>
      <c r="K1186" s="512" t="b">
        <v>1</v>
      </c>
      <c r="L1186" s="512">
        <v>4</v>
      </c>
      <c r="M1186" s="513">
        <v>2026</v>
      </c>
      <c r="N1186" s="514">
        <v>0</v>
      </c>
      <c r="O1186" s="515">
        <v>44620</v>
      </c>
      <c r="P1186" s="515">
        <v>44620</v>
      </c>
      <c r="Q1186" s="516">
        <v>0</v>
      </c>
    </row>
    <row r="1187" spans="1:17" ht="16.5">
      <c r="A1187" s="9">
        <v>2022</v>
      </c>
      <c r="B1187" s="10" t="s">
        <v>748</v>
      </c>
      <c r="C1187" s="511" t="s">
        <v>749</v>
      </c>
      <c r="D1187" s="512">
        <v>218000</v>
      </c>
      <c r="E1187" s="512">
        <v>0</v>
      </c>
      <c r="F1187" s="512"/>
      <c r="G1187" s="512">
        <v>107300</v>
      </c>
      <c r="H1187" s="512" t="s">
        <v>297</v>
      </c>
      <c r="I1187" s="512"/>
      <c r="J1187" s="512" t="s">
        <v>258</v>
      </c>
      <c r="K1187" s="512" t="b">
        <v>1</v>
      </c>
      <c r="L1187" s="512">
        <v>8</v>
      </c>
      <c r="M1187" s="513">
        <v>2030</v>
      </c>
      <c r="N1187" s="514">
        <v>0</v>
      </c>
      <c r="O1187" s="515">
        <v>44620</v>
      </c>
      <c r="P1187" s="515">
        <v>44620</v>
      </c>
      <c r="Q1187" s="516">
        <v>0</v>
      </c>
    </row>
    <row r="1188" spans="1:17" ht="16.5">
      <c r="A1188" s="9">
        <v>2022</v>
      </c>
      <c r="B1188" s="10" t="s">
        <v>748</v>
      </c>
      <c r="C1188" s="511" t="s">
        <v>749</v>
      </c>
      <c r="D1188" s="512">
        <v>218000</v>
      </c>
      <c r="E1188" s="512">
        <v>0</v>
      </c>
      <c r="F1188" s="512"/>
      <c r="G1188" s="512">
        <v>107300</v>
      </c>
      <c r="H1188" s="512" t="s">
        <v>297</v>
      </c>
      <c r="I1188" s="512"/>
      <c r="J1188" s="512" t="s">
        <v>258</v>
      </c>
      <c r="K1188" s="512" t="b">
        <v>1</v>
      </c>
      <c r="L1188" s="512">
        <v>6</v>
      </c>
      <c r="M1188" s="513">
        <v>2028</v>
      </c>
      <c r="N1188" s="514">
        <v>0</v>
      </c>
      <c r="O1188" s="515">
        <v>44620</v>
      </c>
      <c r="P1188" s="515">
        <v>44620</v>
      </c>
      <c r="Q1188" s="516">
        <v>0</v>
      </c>
    </row>
    <row r="1189" spans="1:17" ht="16.5">
      <c r="A1189" s="9">
        <v>2022</v>
      </c>
      <c r="B1189" s="10" t="s">
        <v>748</v>
      </c>
      <c r="C1189" s="511" t="s">
        <v>749</v>
      </c>
      <c r="D1189" s="512">
        <v>218000</v>
      </c>
      <c r="E1189" s="512">
        <v>0</v>
      </c>
      <c r="F1189" s="512"/>
      <c r="G1189" s="512">
        <v>107300</v>
      </c>
      <c r="H1189" s="512" t="s">
        <v>297</v>
      </c>
      <c r="I1189" s="512"/>
      <c r="J1189" s="512" t="s">
        <v>258</v>
      </c>
      <c r="K1189" s="512" t="b">
        <v>1</v>
      </c>
      <c r="L1189" s="512">
        <v>11</v>
      </c>
      <c r="M1189" s="513">
        <v>2033</v>
      </c>
      <c r="N1189" s="514">
        <v>0</v>
      </c>
      <c r="O1189" s="515">
        <v>44620</v>
      </c>
      <c r="P1189" s="515">
        <v>44620</v>
      </c>
      <c r="Q1189" s="516">
        <v>0</v>
      </c>
    </row>
    <row r="1190" spans="1:17" ht="16.5">
      <c r="A1190" s="9">
        <v>2022</v>
      </c>
      <c r="B1190" s="10" t="s">
        <v>748</v>
      </c>
      <c r="C1190" s="511" t="s">
        <v>749</v>
      </c>
      <c r="D1190" s="512">
        <v>218000</v>
      </c>
      <c r="E1190" s="512">
        <v>0</v>
      </c>
      <c r="F1190" s="512"/>
      <c r="G1190" s="512">
        <v>107300</v>
      </c>
      <c r="H1190" s="512" t="s">
        <v>297</v>
      </c>
      <c r="I1190" s="512"/>
      <c r="J1190" s="512" t="s">
        <v>258</v>
      </c>
      <c r="K1190" s="512" t="b">
        <v>1</v>
      </c>
      <c r="L1190" s="512">
        <v>10</v>
      </c>
      <c r="M1190" s="513">
        <v>2032</v>
      </c>
      <c r="N1190" s="514">
        <v>0</v>
      </c>
      <c r="O1190" s="515">
        <v>44620</v>
      </c>
      <c r="P1190" s="515">
        <v>44620</v>
      </c>
      <c r="Q1190" s="516">
        <v>0</v>
      </c>
    </row>
    <row r="1191" spans="1:17" ht="16.5">
      <c r="A1191" s="9">
        <v>2022</v>
      </c>
      <c r="B1191" s="10" t="s">
        <v>748</v>
      </c>
      <c r="C1191" s="511" t="s">
        <v>749</v>
      </c>
      <c r="D1191" s="512">
        <v>218000</v>
      </c>
      <c r="E1191" s="512">
        <v>0</v>
      </c>
      <c r="F1191" s="512"/>
      <c r="G1191" s="512">
        <v>107300</v>
      </c>
      <c r="H1191" s="512" t="s">
        <v>297</v>
      </c>
      <c r="I1191" s="512"/>
      <c r="J1191" s="512" t="s">
        <v>258</v>
      </c>
      <c r="K1191" s="512" t="b">
        <v>1</v>
      </c>
      <c r="L1191" s="512">
        <v>9</v>
      </c>
      <c r="M1191" s="513">
        <v>2031</v>
      </c>
      <c r="N1191" s="514">
        <v>0</v>
      </c>
      <c r="O1191" s="515">
        <v>44620</v>
      </c>
      <c r="P1191" s="515">
        <v>44620</v>
      </c>
      <c r="Q1191" s="516">
        <v>0</v>
      </c>
    </row>
    <row r="1192" spans="1:17" ht="16.5">
      <c r="A1192" s="9">
        <v>2022</v>
      </c>
      <c r="B1192" s="10" t="s">
        <v>748</v>
      </c>
      <c r="C1192" s="511" t="s">
        <v>749</v>
      </c>
      <c r="D1192" s="512">
        <v>218000</v>
      </c>
      <c r="E1192" s="512">
        <v>0</v>
      </c>
      <c r="F1192" s="512"/>
      <c r="G1192" s="512">
        <v>107300</v>
      </c>
      <c r="H1192" s="512" t="s">
        <v>297</v>
      </c>
      <c r="I1192" s="512"/>
      <c r="J1192" s="512" t="s">
        <v>258</v>
      </c>
      <c r="K1192" s="512" t="b">
        <v>1</v>
      </c>
      <c r="L1192" s="512">
        <v>7</v>
      </c>
      <c r="M1192" s="513">
        <v>2029</v>
      </c>
      <c r="N1192" s="514">
        <v>0</v>
      </c>
      <c r="O1192" s="515">
        <v>44620</v>
      </c>
      <c r="P1192" s="515">
        <v>44620</v>
      </c>
      <c r="Q1192" s="516">
        <v>0</v>
      </c>
    </row>
    <row r="1193" spans="1:17" ht="16.5">
      <c r="A1193" s="9">
        <v>2022</v>
      </c>
      <c r="B1193" s="10" t="s">
        <v>748</v>
      </c>
      <c r="C1193" s="511" t="s">
        <v>749</v>
      </c>
      <c r="D1193" s="512">
        <v>218000</v>
      </c>
      <c r="E1193" s="512">
        <v>0</v>
      </c>
      <c r="F1193" s="512"/>
      <c r="G1193" s="512">
        <v>107300</v>
      </c>
      <c r="H1193" s="512" t="s">
        <v>297</v>
      </c>
      <c r="I1193" s="512"/>
      <c r="J1193" s="512" t="s">
        <v>258</v>
      </c>
      <c r="K1193" s="512" t="b">
        <v>1</v>
      </c>
      <c r="L1193" s="512">
        <v>3</v>
      </c>
      <c r="M1193" s="513">
        <v>2025</v>
      </c>
      <c r="N1193" s="514">
        <v>0</v>
      </c>
      <c r="O1193" s="515">
        <v>44620</v>
      </c>
      <c r="P1193" s="515">
        <v>44620</v>
      </c>
      <c r="Q1193" s="516">
        <v>0</v>
      </c>
    </row>
    <row r="1194" spans="1:17" ht="16.5">
      <c r="A1194" s="9">
        <v>2022</v>
      </c>
      <c r="B1194" s="10" t="s">
        <v>748</v>
      </c>
      <c r="C1194" s="511" t="s">
        <v>749</v>
      </c>
      <c r="D1194" s="512">
        <v>218000</v>
      </c>
      <c r="E1194" s="512">
        <v>0</v>
      </c>
      <c r="F1194" s="512"/>
      <c r="G1194" s="512">
        <v>107300</v>
      </c>
      <c r="H1194" s="512" t="s">
        <v>297</v>
      </c>
      <c r="I1194" s="512"/>
      <c r="J1194" s="512" t="s">
        <v>258</v>
      </c>
      <c r="K1194" s="512" t="b">
        <v>1</v>
      </c>
      <c r="L1194" s="512">
        <v>5</v>
      </c>
      <c r="M1194" s="513">
        <v>2027</v>
      </c>
      <c r="N1194" s="514">
        <v>0</v>
      </c>
      <c r="O1194" s="515">
        <v>44620</v>
      </c>
      <c r="P1194" s="515">
        <v>44620</v>
      </c>
      <c r="Q1194" s="516">
        <v>0</v>
      </c>
    </row>
    <row r="1195" spans="1:17" ht="16.5">
      <c r="A1195" s="9">
        <v>2022</v>
      </c>
      <c r="B1195" s="10" t="s">
        <v>748</v>
      </c>
      <c r="C1195" s="511" t="s">
        <v>749</v>
      </c>
      <c r="D1195" s="512">
        <v>218000</v>
      </c>
      <c r="E1195" s="512">
        <v>0</v>
      </c>
      <c r="F1195" s="512"/>
      <c r="G1195" s="512">
        <v>45100</v>
      </c>
      <c r="H1195" s="512" t="s">
        <v>273</v>
      </c>
      <c r="I1195" s="512"/>
      <c r="J1195" s="512" t="s">
        <v>206</v>
      </c>
      <c r="K1195" s="512" t="b">
        <v>0</v>
      </c>
      <c r="L1195" s="512">
        <v>9</v>
      </c>
      <c r="M1195" s="513">
        <v>2031</v>
      </c>
      <c r="N1195" s="514">
        <v>0</v>
      </c>
      <c r="O1195" s="515">
        <v>44620</v>
      </c>
      <c r="P1195" s="515">
        <v>44620</v>
      </c>
      <c r="Q1195" s="516">
        <v>0</v>
      </c>
    </row>
    <row r="1196" spans="1:17" ht="16.5">
      <c r="A1196" s="9">
        <v>2022</v>
      </c>
      <c r="B1196" s="10" t="s">
        <v>748</v>
      </c>
      <c r="C1196" s="511" t="s">
        <v>749</v>
      </c>
      <c r="D1196" s="512">
        <v>218000</v>
      </c>
      <c r="E1196" s="512">
        <v>0</v>
      </c>
      <c r="F1196" s="512"/>
      <c r="G1196" s="512">
        <v>45100</v>
      </c>
      <c r="H1196" s="512" t="s">
        <v>273</v>
      </c>
      <c r="I1196" s="512"/>
      <c r="J1196" s="512" t="s">
        <v>206</v>
      </c>
      <c r="K1196" s="512" t="b">
        <v>0</v>
      </c>
      <c r="L1196" s="512">
        <v>3</v>
      </c>
      <c r="M1196" s="513">
        <v>2025</v>
      </c>
      <c r="N1196" s="514">
        <v>0</v>
      </c>
      <c r="O1196" s="515">
        <v>44620</v>
      </c>
      <c r="P1196" s="515">
        <v>44620</v>
      </c>
      <c r="Q1196" s="516">
        <v>0</v>
      </c>
    </row>
    <row r="1197" spans="1:17" ht="16.5">
      <c r="A1197" s="9">
        <v>2022</v>
      </c>
      <c r="B1197" s="10" t="s">
        <v>748</v>
      </c>
      <c r="C1197" s="511" t="s">
        <v>749</v>
      </c>
      <c r="D1197" s="512">
        <v>218000</v>
      </c>
      <c r="E1197" s="512">
        <v>0</v>
      </c>
      <c r="F1197" s="512"/>
      <c r="G1197" s="512">
        <v>45100</v>
      </c>
      <c r="H1197" s="512" t="s">
        <v>273</v>
      </c>
      <c r="I1197" s="512"/>
      <c r="J1197" s="512" t="s">
        <v>206</v>
      </c>
      <c r="K1197" s="512" t="b">
        <v>0</v>
      </c>
      <c r="L1197" s="512">
        <v>8</v>
      </c>
      <c r="M1197" s="513">
        <v>2030</v>
      </c>
      <c r="N1197" s="514">
        <v>0</v>
      </c>
      <c r="O1197" s="515">
        <v>44620</v>
      </c>
      <c r="P1197" s="515">
        <v>44620</v>
      </c>
      <c r="Q1197" s="516">
        <v>0</v>
      </c>
    </row>
    <row r="1198" spans="1:17" ht="16.5">
      <c r="A1198" s="9">
        <v>2022</v>
      </c>
      <c r="B1198" s="10" t="s">
        <v>748</v>
      </c>
      <c r="C1198" s="511" t="s">
        <v>749</v>
      </c>
      <c r="D1198" s="512">
        <v>218000</v>
      </c>
      <c r="E1198" s="512">
        <v>0</v>
      </c>
      <c r="F1198" s="512"/>
      <c r="G1198" s="512">
        <v>45100</v>
      </c>
      <c r="H1198" s="512" t="s">
        <v>273</v>
      </c>
      <c r="I1198" s="512"/>
      <c r="J1198" s="512" t="s">
        <v>206</v>
      </c>
      <c r="K1198" s="512" t="b">
        <v>0</v>
      </c>
      <c r="L1198" s="512">
        <v>7</v>
      </c>
      <c r="M1198" s="513">
        <v>2029</v>
      </c>
      <c r="N1198" s="514">
        <v>0</v>
      </c>
      <c r="O1198" s="515">
        <v>44620</v>
      </c>
      <c r="P1198" s="515">
        <v>44620</v>
      </c>
      <c r="Q1198" s="516">
        <v>0</v>
      </c>
    </row>
    <row r="1199" spans="1:17" ht="16.5">
      <c r="A1199" s="9">
        <v>2022</v>
      </c>
      <c r="B1199" s="10" t="s">
        <v>748</v>
      </c>
      <c r="C1199" s="511" t="s">
        <v>749</v>
      </c>
      <c r="D1199" s="512">
        <v>218000</v>
      </c>
      <c r="E1199" s="512">
        <v>0</v>
      </c>
      <c r="F1199" s="512"/>
      <c r="G1199" s="512">
        <v>45100</v>
      </c>
      <c r="H1199" s="512" t="s">
        <v>273</v>
      </c>
      <c r="I1199" s="512"/>
      <c r="J1199" s="512" t="s">
        <v>206</v>
      </c>
      <c r="K1199" s="512" t="b">
        <v>0</v>
      </c>
      <c r="L1199" s="512">
        <v>6</v>
      </c>
      <c r="M1199" s="513">
        <v>2028</v>
      </c>
      <c r="N1199" s="514">
        <v>0</v>
      </c>
      <c r="O1199" s="515">
        <v>44620</v>
      </c>
      <c r="P1199" s="515">
        <v>44620</v>
      </c>
      <c r="Q1199" s="516">
        <v>0</v>
      </c>
    </row>
    <row r="1200" spans="1:17" ht="16.5">
      <c r="A1200" s="9">
        <v>2022</v>
      </c>
      <c r="B1200" s="10" t="s">
        <v>748</v>
      </c>
      <c r="C1200" s="511" t="s">
        <v>749</v>
      </c>
      <c r="D1200" s="512">
        <v>218000</v>
      </c>
      <c r="E1200" s="512">
        <v>0</v>
      </c>
      <c r="F1200" s="512"/>
      <c r="G1200" s="512">
        <v>45100</v>
      </c>
      <c r="H1200" s="512" t="s">
        <v>273</v>
      </c>
      <c r="I1200" s="512"/>
      <c r="J1200" s="512" t="s">
        <v>206</v>
      </c>
      <c r="K1200" s="512" t="b">
        <v>0</v>
      </c>
      <c r="L1200" s="512">
        <v>2</v>
      </c>
      <c r="M1200" s="513">
        <v>2024</v>
      </c>
      <c r="N1200" s="514">
        <v>0</v>
      </c>
      <c r="O1200" s="515">
        <v>44620</v>
      </c>
      <c r="P1200" s="515">
        <v>44620</v>
      </c>
      <c r="Q1200" s="516">
        <v>0</v>
      </c>
    </row>
    <row r="1201" spans="1:17" ht="16.5">
      <c r="A1201" s="9">
        <v>2022</v>
      </c>
      <c r="B1201" s="10" t="s">
        <v>748</v>
      </c>
      <c r="C1201" s="511" t="s">
        <v>749</v>
      </c>
      <c r="D1201" s="512">
        <v>218000</v>
      </c>
      <c r="E1201" s="512">
        <v>0</v>
      </c>
      <c r="F1201" s="512"/>
      <c r="G1201" s="512">
        <v>45100</v>
      </c>
      <c r="H1201" s="512" t="s">
        <v>273</v>
      </c>
      <c r="I1201" s="512"/>
      <c r="J1201" s="512" t="s">
        <v>206</v>
      </c>
      <c r="K1201" s="512" t="b">
        <v>0</v>
      </c>
      <c r="L1201" s="512">
        <v>0</v>
      </c>
      <c r="M1201" s="513">
        <v>2022</v>
      </c>
      <c r="N1201" s="514">
        <v>0</v>
      </c>
      <c r="O1201" s="515">
        <v>44620</v>
      </c>
      <c r="P1201" s="515">
        <v>44620</v>
      </c>
      <c r="Q1201" s="516">
        <v>0</v>
      </c>
    </row>
    <row r="1202" spans="1:17" ht="16.5">
      <c r="A1202" s="9">
        <v>2022</v>
      </c>
      <c r="B1202" s="10" t="s">
        <v>748</v>
      </c>
      <c r="C1202" s="511" t="s">
        <v>749</v>
      </c>
      <c r="D1202" s="512">
        <v>218000</v>
      </c>
      <c r="E1202" s="512">
        <v>0</v>
      </c>
      <c r="F1202" s="512"/>
      <c r="G1202" s="512">
        <v>45100</v>
      </c>
      <c r="H1202" s="512" t="s">
        <v>273</v>
      </c>
      <c r="I1202" s="512"/>
      <c r="J1202" s="512" t="s">
        <v>206</v>
      </c>
      <c r="K1202" s="512" t="b">
        <v>0</v>
      </c>
      <c r="L1202" s="512">
        <v>5</v>
      </c>
      <c r="M1202" s="513">
        <v>2027</v>
      </c>
      <c r="N1202" s="514">
        <v>0</v>
      </c>
      <c r="O1202" s="515">
        <v>44620</v>
      </c>
      <c r="P1202" s="515">
        <v>44620</v>
      </c>
      <c r="Q1202" s="516">
        <v>0</v>
      </c>
    </row>
    <row r="1203" spans="1:17" ht="16.5">
      <c r="A1203" s="9">
        <v>2022</v>
      </c>
      <c r="B1203" s="10" t="s">
        <v>748</v>
      </c>
      <c r="C1203" s="511" t="s">
        <v>749</v>
      </c>
      <c r="D1203" s="512">
        <v>218000</v>
      </c>
      <c r="E1203" s="512">
        <v>0</v>
      </c>
      <c r="F1203" s="512"/>
      <c r="G1203" s="512">
        <v>45100</v>
      </c>
      <c r="H1203" s="512" t="s">
        <v>273</v>
      </c>
      <c r="I1203" s="512"/>
      <c r="J1203" s="512" t="s">
        <v>206</v>
      </c>
      <c r="K1203" s="512" t="b">
        <v>0</v>
      </c>
      <c r="L1203" s="512">
        <v>11</v>
      </c>
      <c r="M1203" s="513">
        <v>2033</v>
      </c>
      <c r="N1203" s="514">
        <v>0</v>
      </c>
      <c r="O1203" s="515">
        <v>44620</v>
      </c>
      <c r="P1203" s="515">
        <v>44620</v>
      </c>
      <c r="Q1203" s="516">
        <v>0</v>
      </c>
    </row>
    <row r="1204" spans="1:17" ht="16.5">
      <c r="A1204" s="9">
        <v>2022</v>
      </c>
      <c r="B1204" s="10" t="s">
        <v>748</v>
      </c>
      <c r="C1204" s="511" t="s">
        <v>749</v>
      </c>
      <c r="D1204" s="512">
        <v>218000</v>
      </c>
      <c r="E1204" s="512">
        <v>0</v>
      </c>
      <c r="F1204" s="512"/>
      <c r="G1204" s="512">
        <v>45100</v>
      </c>
      <c r="H1204" s="512" t="s">
        <v>273</v>
      </c>
      <c r="I1204" s="512"/>
      <c r="J1204" s="512" t="s">
        <v>206</v>
      </c>
      <c r="K1204" s="512" t="b">
        <v>0</v>
      </c>
      <c r="L1204" s="512">
        <v>1</v>
      </c>
      <c r="M1204" s="513">
        <v>2023</v>
      </c>
      <c r="N1204" s="514">
        <v>0</v>
      </c>
      <c r="O1204" s="515">
        <v>44620</v>
      </c>
      <c r="P1204" s="515">
        <v>44620</v>
      </c>
      <c r="Q1204" s="516">
        <v>0</v>
      </c>
    </row>
    <row r="1205" spans="1:17" ht="16.5">
      <c r="A1205" s="9">
        <v>2022</v>
      </c>
      <c r="B1205" s="10" t="s">
        <v>748</v>
      </c>
      <c r="C1205" s="511" t="s">
        <v>749</v>
      </c>
      <c r="D1205" s="512">
        <v>218000</v>
      </c>
      <c r="E1205" s="512">
        <v>0</v>
      </c>
      <c r="F1205" s="512"/>
      <c r="G1205" s="512">
        <v>45100</v>
      </c>
      <c r="H1205" s="512" t="s">
        <v>273</v>
      </c>
      <c r="I1205" s="512"/>
      <c r="J1205" s="512" t="s">
        <v>206</v>
      </c>
      <c r="K1205" s="512" t="b">
        <v>0</v>
      </c>
      <c r="L1205" s="512">
        <v>10</v>
      </c>
      <c r="M1205" s="513">
        <v>2032</v>
      </c>
      <c r="N1205" s="514">
        <v>0</v>
      </c>
      <c r="O1205" s="515">
        <v>44620</v>
      </c>
      <c r="P1205" s="515">
        <v>44620</v>
      </c>
      <c r="Q1205" s="516">
        <v>0</v>
      </c>
    </row>
    <row r="1206" spans="1:17" ht="16.5">
      <c r="A1206" s="9">
        <v>2022</v>
      </c>
      <c r="B1206" s="10" t="s">
        <v>748</v>
      </c>
      <c r="C1206" s="511" t="s">
        <v>749</v>
      </c>
      <c r="D1206" s="512">
        <v>218000</v>
      </c>
      <c r="E1206" s="512">
        <v>0</v>
      </c>
      <c r="F1206" s="512"/>
      <c r="G1206" s="512">
        <v>45100</v>
      </c>
      <c r="H1206" s="512" t="s">
        <v>273</v>
      </c>
      <c r="I1206" s="512"/>
      <c r="J1206" s="512" t="s">
        <v>206</v>
      </c>
      <c r="K1206" s="512" t="b">
        <v>0</v>
      </c>
      <c r="L1206" s="512">
        <v>4</v>
      </c>
      <c r="M1206" s="513">
        <v>2026</v>
      </c>
      <c r="N1206" s="514">
        <v>0</v>
      </c>
      <c r="O1206" s="515">
        <v>44620</v>
      </c>
      <c r="P1206" s="515">
        <v>44620</v>
      </c>
      <c r="Q1206" s="516">
        <v>0</v>
      </c>
    </row>
    <row r="1207" spans="1:17" ht="16.5">
      <c r="A1207" s="9">
        <v>2022</v>
      </c>
      <c r="B1207" s="10" t="s">
        <v>748</v>
      </c>
      <c r="C1207" s="511" t="s">
        <v>749</v>
      </c>
      <c r="D1207" s="512">
        <v>218000</v>
      </c>
      <c r="E1207" s="512">
        <v>0</v>
      </c>
      <c r="F1207" s="512"/>
      <c r="G1207" s="512">
        <v>21300</v>
      </c>
      <c r="H1207" s="512" t="s">
        <v>41</v>
      </c>
      <c r="I1207" s="512"/>
      <c r="J1207" s="512" t="s">
        <v>196</v>
      </c>
      <c r="K1207" s="512" t="b">
        <v>0</v>
      </c>
      <c r="L1207" s="512">
        <v>11</v>
      </c>
      <c r="M1207" s="513">
        <v>2033</v>
      </c>
      <c r="N1207" s="514">
        <v>30625</v>
      </c>
      <c r="O1207" s="515">
        <v>44620</v>
      </c>
      <c r="P1207" s="515">
        <v>44620</v>
      </c>
      <c r="Q1207" s="516">
        <v>0</v>
      </c>
    </row>
    <row r="1208" spans="1:17" ht="16.5">
      <c r="A1208" s="9">
        <v>2022</v>
      </c>
      <c r="B1208" s="10" t="s">
        <v>748</v>
      </c>
      <c r="C1208" s="511" t="s">
        <v>749</v>
      </c>
      <c r="D1208" s="512">
        <v>218000</v>
      </c>
      <c r="E1208" s="512">
        <v>0</v>
      </c>
      <c r="F1208" s="512"/>
      <c r="G1208" s="512">
        <v>21300</v>
      </c>
      <c r="H1208" s="512" t="s">
        <v>41</v>
      </c>
      <c r="I1208" s="512"/>
      <c r="J1208" s="512" t="s">
        <v>196</v>
      </c>
      <c r="K1208" s="512" t="b">
        <v>0</v>
      </c>
      <c r="L1208" s="512">
        <v>4</v>
      </c>
      <c r="M1208" s="513">
        <v>2026</v>
      </c>
      <c r="N1208" s="514">
        <v>377600</v>
      </c>
      <c r="O1208" s="515">
        <v>44620</v>
      </c>
      <c r="P1208" s="515">
        <v>44620</v>
      </c>
      <c r="Q1208" s="516">
        <v>0</v>
      </c>
    </row>
    <row r="1209" spans="1:17" ht="16.5">
      <c r="A1209" s="9">
        <v>2022</v>
      </c>
      <c r="B1209" s="10" t="s">
        <v>748</v>
      </c>
      <c r="C1209" s="511" t="s">
        <v>749</v>
      </c>
      <c r="D1209" s="512">
        <v>218000</v>
      </c>
      <c r="E1209" s="512">
        <v>0</v>
      </c>
      <c r="F1209" s="512"/>
      <c r="G1209" s="512">
        <v>21300</v>
      </c>
      <c r="H1209" s="512" t="s">
        <v>41</v>
      </c>
      <c r="I1209" s="512"/>
      <c r="J1209" s="512" t="s">
        <v>196</v>
      </c>
      <c r="K1209" s="512" t="b">
        <v>0</v>
      </c>
      <c r="L1209" s="512">
        <v>3</v>
      </c>
      <c r="M1209" s="513">
        <v>2025</v>
      </c>
      <c r="N1209" s="514">
        <v>441400</v>
      </c>
      <c r="O1209" s="515">
        <v>44620</v>
      </c>
      <c r="P1209" s="515">
        <v>44620</v>
      </c>
      <c r="Q1209" s="516">
        <v>0</v>
      </c>
    </row>
    <row r="1210" spans="1:17" ht="16.5">
      <c r="A1210" s="9">
        <v>2022</v>
      </c>
      <c r="B1210" s="10" t="s">
        <v>748</v>
      </c>
      <c r="C1210" s="511" t="s">
        <v>749</v>
      </c>
      <c r="D1210" s="512">
        <v>218000</v>
      </c>
      <c r="E1210" s="512">
        <v>0</v>
      </c>
      <c r="F1210" s="512"/>
      <c r="G1210" s="512">
        <v>21300</v>
      </c>
      <c r="H1210" s="512" t="s">
        <v>41</v>
      </c>
      <c r="I1210" s="512"/>
      <c r="J1210" s="512" t="s">
        <v>196</v>
      </c>
      <c r="K1210" s="512" t="b">
        <v>0</v>
      </c>
      <c r="L1210" s="512">
        <v>9</v>
      </c>
      <c r="M1210" s="513">
        <v>2031</v>
      </c>
      <c r="N1210" s="514">
        <v>140425</v>
      </c>
      <c r="O1210" s="515">
        <v>44620</v>
      </c>
      <c r="P1210" s="515">
        <v>44620</v>
      </c>
      <c r="Q1210" s="516">
        <v>0</v>
      </c>
    </row>
    <row r="1211" spans="1:17" ht="16.5">
      <c r="A1211" s="9">
        <v>2022</v>
      </c>
      <c r="B1211" s="10" t="s">
        <v>748</v>
      </c>
      <c r="C1211" s="511" t="s">
        <v>749</v>
      </c>
      <c r="D1211" s="512">
        <v>218000</v>
      </c>
      <c r="E1211" s="512">
        <v>0</v>
      </c>
      <c r="F1211" s="512"/>
      <c r="G1211" s="512">
        <v>21300</v>
      </c>
      <c r="H1211" s="512" t="s">
        <v>41</v>
      </c>
      <c r="I1211" s="512"/>
      <c r="J1211" s="512" t="s">
        <v>196</v>
      </c>
      <c r="K1211" s="512" t="b">
        <v>0</v>
      </c>
      <c r="L1211" s="512">
        <v>1</v>
      </c>
      <c r="M1211" s="513">
        <v>2023</v>
      </c>
      <c r="N1211" s="514">
        <v>566288</v>
      </c>
      <c r="O1211" s="515">
        <v>44620</v>
      </c>
      <c r="P1211" s="515">
        <v>44620</v>
      </c>
      <c r="Q1211" s="516">
        <v>0</v>
      </c>
    </row>
    <row r="1212" spans="1:17" ht="16.5">
      <c r="A1212" s="9">
        <v>2022</v>
      </c>
      <c r="B1212" s="10" t="s">
        <v>748</v>
      </c>
      <c r="C1212" s="511" t="s">
        <v>749</v>
      </c>
      <c r="D1212" s="512">
        <v>218000</v>
      </c>
      <c r="E1212" s="512">
        <v>0</v>
      </c>
      <c r="F1212" s="512"/>
      <c r="G1212" s="512">
        <v>21300</v>
      </c>
      <c r="H1212" s="512" t="s">
        <v>41</v>
      </c>
      <c r="I1212" s="512"/>
      <c r="J1212" s="512" t="s">
        <v>196</v>
      </c>
      <c r="K1212" s="512" t="b">
        <v>0</v>
      </c>
      <c r="L1212" s="512">
        <v>0</v>
      </c>
      <c r="M1212" s="513">
        <v>2022</v>
      </c>
      <c r="N1212" s="514">
        <v>350000</v>
      </c>
      <c r="O1212" s="515">
        <v>44620</v>
      </c>
      <c r="P1212" s="515">
        <v>44620</v>
      </c>
      <c r="Q1212" s="516">
        <v>0</v>
      </c>
    </row>
    <row r="1213" spans="1:17" ht="16.5">
      <c r="A1213" s="9">
        <v>2022</v>
      </c>
      <c r="B1213" s="10" t="s">
        <v>748</v>
      </c>
      <c r="C1213" s="511" t="s">
        <v>749</v>
      </c>
      <c r="D1213" s="512">
        <v>218000</v>
      </c>
      <c r="E1213" s="512">
        <v>0</v>
      </c>
      <c r="F1213" s="512"/>
      <c r="G1213" s="512">
        <v>21300</v>
      </c>
      <c r="H1213" s="512" t="s">
        <v>41</v>
      </c>
      <c r="I1213" s="512"/>
      <c r="J1213" s="512" t="s">
        <v>196</v>
      </c>
      <c r="K1213" s="512" t="b">
        <v>0</v>
      </c>
      <c r="L1213" s="512">
        <v>2</v>
      </c>
      <c r="M1213" s="513">
        <v>2024</v>
      </c>
      <c r="N1213" s="514">
        <v>503844</v>
      </c>
      <c r="O1213" s="515">
        <v>44620</v>
      </c>
      <c r="P1213" s="515">
        <v>44620</v>
      </c>
      <c r="Q1213" s="516">
        <v>0</v>
      </c>
    </row>
    <row r="1214" spans="1:17" ht="16.5">
      <c r="A1214" s="9">
        <v>2022</v>
      </c>
      <c r="B1214" s="10" t="s">
        <v>748</v>
      </c>
      <c r="C1214" s="511" t="s">
        <v>749</v>
      </c>
      <c r="D1214" s="512">
        <v>218000</v>
      </c>
      <c r="E1214" s="512">
        <v>0</v>
      </c>
      <c r="F1214" s="512"/>
      <c r="G1214" s="512">
        <v>21300</v>
      </c>
      <c r="H1214" s="512" t="s">
        <v>41</v>
      </c>
      <c r="I1214" s="512"/>
      <c r="J1214" s="512" t="s">
        <v>196</v>
      </c>
      <c r="K1214" s="512" t="b">
        <v>0</v>
      </c>
      <c r="L1214" s="512">
        <v>5</v>
      </c>
      <c r="M1214" s="513">
        <v>2027</v>
      </c>
      <c r="N1214" s="514">
        <v>313800</v>
      </c>
      <c r="O1214" s="515">
        <v>44620</v>
      </c>
      <c r="P1214" s="515">
        <v>44620</v>
      </c>
      <c r="Q1214" s="516">
        <v>0</v>
      </c>
    </row>
    <row r="1215" spans="1:17" ht="16.5">
      <c r="A1215" s="9">
        <v>2022</v>
      </c>
      <c r="B1215" s="10" t="s">
        <v>748</v>
      </c>
      <c r="C1215" s="511" t="s">
        <v>749</v>
      </c>
      <c r="D1215" s="512">
        <v>218000</v>
      </c>
      <c r="E1215" s="512">
        <v>0</v>
      </c>
      <c r="F1215" s="512"/>
      <c r="G1215" s="512">
        <v>21300</v>
      </c>
      <c r="H1215" s="512" t="s">
        <v>41</v>
      </c>
      <c r="I1215" s="512"/>
      <c r="J1215" s="512" t="s">
        <v>196</v>
      </c>
      <c r="K1215" s="512" t="b">
        <v>0</v>
      </c>
      <c r="L1215" s="512">
        <v>8</v>
      </c>
      <c r="M1215" s="513">
        <v>2030</v>
      </c>
      <c r="N1215" s="514">
        <v>176275</v>
      </c>
      <c r="O1215" s="515">
        <v>44620</v>
      </c>
      <c r="P1215" s="515">
        <v>44620</v>
      </c>
      <c r="Q1215" s="516">
        <v>0</v>
      </c>
    </row>
    <row r="1216" spans="1:17" ht="16.5">
      <c r="A1216" s="9">
        <v>2022</v>
      </c>
      <c r="B1216" s="10" t="s">
        <v>748</v>
      </c>
      <c r="C1216" s="511" t="s">
        <v>749</v>
      </c>
      <c r="D1216" s="512">
        <v>218000</v>
      </c>
      <c r="E1216" s="512">
        <v>0</v>
      </c>
      <c r="F1216" s="512"/>
      <c r="G1216" s="512">
        <v>21300</v>
      </c>
      <c r="H1216" s="512" t="s">
        <v>41</v>
      </c>
      <c r="I1216" s="512"/>
      <c r="J1216" s="512" t="s">
        <v>196</v>
      </c>
      <c r="K1216" s="512" t="b">
        <v>0</v>
      </c>
      <c r="L1216" s="512">
        <v>6</v>
      </c>
      <c r="M1216" s="513">
        <v>2028</v>
      </c>
      <c r="N1216" s="514">
        <v>257975</v>
      </c>
      <c r="O1216" s="515">
        <v>44620</v>
      </c>
      <c r="P1216" s="515">
        <v>44620</v>
      </c>
      <c r="Q1216" s="516">
        <v>0</v>
      </c>
    </row>
    <row r="1217" spans="1:17" ht="16.5">
      <c r="A1217" s="9">
        <v>2022</v>
      </c>
      <c r="B1217" s="10" t="s">
        <v>748</v>
      </c>
      <c r="C1217" s="511" t="s">
        <v>749</v>
      </c>
      <c r="D1217" s="512">
        <v>218000</v>
      </c>
      <c r="E1217" s="512">
        <v>0</v>
      </c>
      <c r="F1217" s="512"/>
      <c r="G1217" s="512">
        <v>21300</v>
      </c>
      <c r="H1217" s="512" t="s">
        <v>41</v>
      </c>
      <c r="I1217" s="512"/>
      <c r="J1217" s="512" t="s">
        <v>196</v>
      </c>
      <c r="K1217" s="512" t="b">
        <v>0</v>
      </c>
      <c r="L1217" s="512">
        <v>10</v>
      </c>
      <c r="M1217" s="513">
        <v>2032</v>
      </c>
      <c r="N1217" s="514">
        <v>91875</v>
      </c>
      <c r="O1217" s="515">
        <v>44620</v>
      </c>
      <c r="P1217" s="515">
        <v>44620</v>
      </c>
      <c r="Q1217" s="516">
        <v>0</v>
      </c>
    </row>
    <row r="1218" spans="1:17" ht="16.5">
      <c r="A1218" s="9">
        <v>2022</v>
      </c>
      <c r="B1218" s="10" t="s">
        <v>748</v>
      </c>
      <c r="C1218" s="511" t="s">
        <v>749</v>
      </c>
      <c r="D1218" s="512">
        <v>218000</v>
      </c>
      <c r="E1218" s="512">
        <v>0</v>
      </c>
      <c r="F1218" s="512"/>
      <c r="G1218" s="512">
        <v>21300</v>
      </c>
      <c r="H1218" s="512" t="s">
        <v>41</v>
      </c>
      <c r="I1218" s="512"/>
      <c r="J1218" s="512" t="s">
        <v>196</v>
      </c>
      <c r="K1218" s="512" t="b">
        <v>0</v>
      </c>
      <c r="L1218" s="512">
        <v>7</v>
      </c>
      <c r="M1218" s="513">
        <v>2029</v>
      </c>
      <c r="N1218" s="514">
        <v>214125</v>
      </c>
      <c r="O1218" s="515">
        <v>44620</v>
      </c>
      <c r="P1218" s="515">
        <v>44620</v>
      </c>
      <c r="Q1218" s="516">
        <v>0</v>
      </c>
    </row>
    <row r="1219" spans="1:17" ht="16.5">
      <c r="A1219" s="9">
        <v>2022</v>
      </c>
      <c r="B1219" s="10" t="s">
        <v>748</v>
      </c>
      <c r="C1219" s="511" t="s">
        <v>749</v>
      </c>
      <c r="D1219" s="512">
        <v>218000</v>
      </c>
      <c r="E1219" s="512">
        <v>0</v>
      </c>
      <c r="F1219" s="512"/>
      <c r="G1219" s="512">
        <v>11400</v>
      </c>
      <c r="H1219" s="512" t="s">
        <v>35</v>
      </c>
      <c r="I1219" s="512"/>
      <c r="J1219" s="512" t="s">
        <v>186</v>
      </c>
      <c r="K1219" s="512" t="b">
        <v>1</v>
      </c>
      <c r="L1219" s="512">
        <v>6</v>
      </c>
      <c r="M1219" s="513">
        <v>2028</v>
      </c>
      <c r="N1219" s="514">
        <v>16386199</v>
      </c>
      <c r="O1219" s="515">
        <v>44620</v>
      </c>
      <c r="P1219" s="515">
        <v>44620</v>
      </c>
      <c r="Q1219" s="516">
        <v>0</v>
      </c>
    </row>
    <row r="1220" spans="1:17" ht="16.5">
      <c r="A1220" s="9">
        <v>2022</v>
      </c>
      <c r="B1220" s="10" t="s">
        <v>748</v>
      </c>
      <c r="C1220" s="511" t="s">
        <v>749</v>
      </c>
      <c r="D1220" s="512">
        <v>218000</v>
      </c>
      <c r="E1220" s="512">
        <v>0</v>
      </c>
      <c r="F1220" s="512"/>
      <c r="G1220" s="512">
        <v>11400</v>
      </c>
      <c r="H1220" s="512" t="s">
        <v>35</v>
      </c>
      <c r="I1220" s="512"/>
      <c r="J1220" s="512" t="s">
        <v>186</v>
      </c>
      <c r="K1220" s="512" t="b">
        <v>1</v>
      </c>
      <c r="L1220" s="512">
        <v>10</v>
      </c>
      <c r="M1220" s="513">
        <v>2032</v>
      </c>
      <c r="N1220" s="514">
        <v>18353370</v>
      </c>
      <c r="O1220" s="515">
        <v>44620</v>
      </c>
      <c r="P1220" s="515">
        <v>44620</v>
      </c>
      <c r="Q1220" s="516">
        <v>0</v>
      </c>
    </row>
    <row r="1221" spans="1:17" ht="16.5">
      <c r="A1221" s="9">
        <v>2022</v>
      </c>
      <c r="B1221" s="10" t="s">
        <v>748</v>
      </c>
      <c r="C1221" s="511" t="s">
        <v>749</v>
      </c>
      <c r="D1221" s="512">
        <v>218000</v>
      </c>
      <c r="E1221" s="512">
        <v>0</v>
      </c>
      <c r="F1221" s="512"/>
      <c r="G1221" s="512">
        <v>11400</v>
      </c>
      <c r="H1221" s="512" t="s">
        <v>35</v>
      </c>
      <c r="I1221" s="512"/>
      <c r="J1221" s="512" t="s">
        <v>186</v>
      </c>
      <c r="K1221" s="512" t="b">
        <v>1</v>
      </c>
      <c r="L1221" s="512">
        <v>2</v>
      </c>
      <c r="M1221" s="513">
        <v>2024</v>
      </c>
      <c r="N1221" s="514">
        <v>14321110</v>
      </c>
      <c r="O1221" s="515">
        <v>44620</v>
      </c>
      <c r="P1221" s="515">
        <v>44620</v>
      </c>
      <c r="Q1221" s="516">
        <v>0</v>
      </c>
    </row>
    <row r="1222" spans="1:17" ht="16.5">
      <c r="A1222" s="9">
        <v>2022</v>
      </c>
      <c r="B1222" s="10" t="s">
        <v>748</v>
      </c>
      <c r="C1222" s="511" t="s">
        <v>749</v>
      </c>
      <c r="D1222" s="512">
        <v>218000</v>
      </c>
      <c r="E1222" s="512">
        <v>0</v>
      </c>
      <c r="F1222" s="512"/>
      <c r="G1222" s="512">
        <v>11400</v>
      </c>
      <c r="H1222" s="512" t="s">
        <v>35</v>
      </c>
      <c r="I1222" s="512"/>
      <c r="J1222" s="512" t="s">
        <v>186</v>
      </c>
      <c r="K1222" s="512" t="b">
        <v>1</v>
      </c>
      <c r="L1222" s="512">
        <v>8</v>
      </c>
      <c r="M1222" s="513">
        <v>2030</v>
      </c>
      <c r="N1222" s="514">
        <v>17384102</v>
      </c>
      <c r="O1222" s="515">
        <v>44620</v>
      </c>
      <c r="P1222" s="515">
        <v>44620</v>
      </c>
      <c r="Q1222" s="516">
        <v>0</v>
      </c>
    </row>
    <row r="1223" spans="1:17" ht="16.5">
      <c r="A1223" s="9">
        <v>2022</v>
      </c>
      <c r="B1223" s="10" t="s">
        <v>748</v>
      </c>
      <c r="C1223" s="511" t="s">
        <v>749</v>
      </c>
      <c r="D1223" s="512">
        <v>218000</v>
      </c>
      <c r="E1223" s="512">
        <v>0</v>
      </c>
      <c r="F1223" s="512"/>
      <c r="G1223" s="512">
        <v>11400</v>
      </c>
      <c r="H1223" s="512" t="s">
        <v>35</v>
      </c>
      <c r="I1223" s="512"/>
      <c r="J1223" s="512" t="s">
        <v>186</v>
      </c>
      <c r="K1223" s="512" t="b">
        <v>1</v>
      </c>
      <c r="L1223" s="512">
        <v>7</v>
      </c>
      <c r="M1223" s="513">
        <v>2029</v>
      </c>
      <c r="N1223" s="514">
        <v>16894171</v>
      </c>
      <c r="O1223" s="515">
        <v>44620</v>
      </c>
      <c r="P1223" s="515">
        <v>44620</v>
      </c>
      <c r="Q1223" s="516">
        <v>0</v>
      </c>
    </row>
    <row r="1224" spans="1:17" ht="16.5">
      <c r="A1224" s="9">
        <v>2022</v>
      </c>
      <c r="B1224" s="10" t="s">
        <v>748</v>
      </c>
      <c r="C1224" s="511" t="s">
        <v>749</v>
      </c>
      <c r="D1224" s="512">
        <v>218000</v>
      </c>
      <c r="E1224" s="512">
        <v>0</v>
      </c>
      <c r="F1224" s="512"/>
      <c r="G1224" s="512">
        <v>11400</v>
      </c>
      <c r="H1224" s="512" t="s">
        <v>35</v>
      </c>
      <c r="I1224" s="512"/>
      <c r="J1224" s="512" t="s">
        <v>186</v>
      </c>
      <c r="K1224" s="512" t="b">
        <v>1</v>
      </c>
      <c r="L1224" s="512">
        <v>1</v>
      </c>
      <c r="M1224" s="513">
        <v>2023</v>
      </c>
      <c r="N1224" s="514">
        <v>13836821</v>
      </c>
      <c r="O1224" s="515">
        <v>44620</v>
      </c>
      <c r="P1224" s="515">
        <v>44620</v>
      </c>
      <c r="Q1224" s="516">
        <v>0</v>
      </c>
    </row>
    <row r="1225" spans="1:17" ht="16.5">
      <c r="A1225" s="9">
        <v>2022</v>
      </c>
      <c r="B1225" s="10" t="s">
        <v>748</v>
      </c>
      <c r="C1225" s="511" t="s">
        <v>749</v>
      </c>
      <c r="D1225" s="512">
        <v>218000</v>
      </c>
      <c r="E1225" s="512">
        <v>0</v>
      </c>
      <c r="F1225" s="512"/>
      <c r="G1225" s="512">
        <v>11400</v>
      </c>
      <c r="H1225" s="512" t="s">
        <v>35</v>
      </c>
      <c r="I1225" s="512"/>
      <c r="J1225" s="512" t="s">
        <v>186</v>
      </c>
      <c r="K1225" s="512" t="b">
        <v>1</v>
      </c>
      <c r="L1225" s="512">
        <v>0</v>
      </c>
      <c r="M1225" s="513">
        <v>2022</v>
      </c>
      <c r="N1225" s="514">
        <v>14356356</v>
      </c>
      <c r="O1225" s="515">
        <v>44620</v>
      </c>
      <c r="P1225" s="515">
        <v>44620</v>
      </c>
      <c r="Q1225" s="516">
        <v>0</v>
      </c>
    </row>
    <row r="1226" spans="1:17" ht="16.5">
      <c r="A1226" s="9">
        <v>2022</v>
      </c>
      <c r="B1226" s="10" t="s">
        <v>748</v>
      </c>
      <c r="C1226" s="511" t="s">
        <v>749</v>
      </c>
      <c r="D1226" s="512">
        <v>218000</v>
      </c>
      <c r="E1226" s="512">
        <v>0</v>
      </c>
      <c r="F1226" s="512"/>
      <c r="G1226" s="512">
        <v>11400</v>
      </c>
      <c r="H1226" s="512" t="s">
        <v>35</v>
      </c>
      <c r="I1226" s="512"/>
      <c r="J1226" s="512" t="s">
        <v>186</v>
      </c>
      <c r="K1226" s="512" t="b">
        <v>1</v>
      </c>
      <c r="L1226" s="512">
        <v>5</v>
      </c>
      <c r="M1226" s="513">
        <v>2027</v>
      </c>
      <c r="N1226" s="514">
        <v>15862729</v>
      </c>
      <c r="O1226" s="515">
        <v>44620</v>
      </c>
      <c r="P1226" s="515">
        <v>44620</v>
      </c>
      <c r="Q1226" s="516">
        <v>0</v>
      </c>
    </row>
    <row r="1227" spans="1:17" ht="16.5">
      <c r="A1227" s="9">
        <v>2022</v>
      </c>
      <c r="B1227" s="10" t="s">
        <v>748</v>
      </c>
      <c r="C1227" s="511" t="s">
        <v>749</v>
      </c>
      <c r="D1227" s="512">
        <v>218000</v>
      </c>
      <c r="E1227" s="512">
        <v>0</v>
      </c>
      <c r="F1227" s="512"/>
      <c r="G1227" s="512">
        <v>11400</v>
      </c>
      <c r="H1227" s="512" t="s">
        <v>35</v>
      </c>
      <c r="I1227" s="512"/>
      <c r="J1227" s="512" t="s">
        <v>186</v>
      </c>
      <c r="K1227" s="512" t="b">
        <v>1</v>
      </c>
      <c r="L1227" s="512">
        <v>3</v>
      </c>
      <c r="M1227" s="513">
        <v>2025</v>
      </c>
      <c r="N1227" s="514">
        <v>14822349</v>
      </c>
      <c r="O1227" s="515">
        <v>44620</v>
      </c>
      <c r="P1227" s="515">
        <v>44620</v>
      </c>
      <c r="Q1227" s="516">
        <v>0</v>
      </c>
    </row>
    <row r="1228" spans="1:17" ht="16.5">
      <c r="A1228" s="9">
        <v>2022</v>
      </c>
      <c r="B1228" s="10" t="s">
        <v>748</v>
      </c>
      <c r="C1228" s="511" t="s">
        <v>749</v>
      </c>
      <c r="D1228" s="512">
        <v>218000</v>
      </c>
      <c r="E1228" s="512">
        <v>0</v>
      </c>
      <c r="F1228" s="512"/>
      <c r="G1228" s="512">
        <v>11400</v>
      </c>
      <c r="H1228" s="512" t="s">
        <v>35</v>
      </c>
      <c r="I1228" s="512"/>
      <c r="J1228" s="512" t="s">
        <v>186</v>
      </c>
      <c r="K1228" s="512" t="b">
        <v>1</v>
      </c>
      <c r="L1228" s="512">
        <v>9</v>
      </c>
      <c r="M1228" s="513">
        <v>2031</v>
      </c>
      <c r="N1228" s="514">
        <v>17870857</v>
      </c>
      <c r="O1228" s="515">
        <v>44620</v>
      </c>
      <c r="P1228" s="515">
        <v>44620</v>
      </c>
      <c r="Q1228" s="516">
        <v>0</v>
      </c>
    </row>
    <row r="1229" spans="1:17" ht="16.5">
      <c r="A1229" s="9">
        <v>2022</v>
      </c>
      <c r="B1229" s="10" t="s">
        <v>748</v>
      </c>
      <c r="C1229" s="511" t="s">
        <v>749</v>
      </c>
      <c r="D1229" s="512">
        <v>218000</v>
      </c>
      <c r="E1229" s="512">
        <v>0</v>
      </c>
      <c r="F1229" s="512"/>
      <c r="G1229" s="512">
        <v>11400</v>
      </c>
      <c r="H1229" s="512" t="s">
        <v>35</v>
      </c>
      <c r="I1229" s="512"/>
      <c r="J1229" s="512" t="s">
        <v>186</v>
      </c>
      <c r="K1229" s="512" t="b">
        <v>1</v>
      </c>
      <c r="L1229" s="512">
        <v>11</v>
      </c>
      <c r="M1229" s="513">
        <v>2033</v>
      </c>
      <c r="N1229" s="514">
        <v>18830558</v>
      </c>
      <c r="O1229" s="515">
        <v>44620</v>
      </c>
      <c r="P1229" s="515">
        <v>44620</v>
      </c>
      <c r="Q1229" s="516">
        <v>0</v>
      </c>
    </row>
    <row r="1230" spans="1:17" ht="16.5">
      <c r="A1230" s="9">
        <v>2022</v>
      </c>
      <c r="B1230" s="10" t="s">
        <v>748</v>
      </c>
      <c r="C1230" s="511" t="s">
        <v>749</v>
      </c>
      <c r="D1230" s="512">
        <v>218000</v>
      </c>
      <c r="E1230" s="512">
        <v>0</v>
      </c>
      <c r="F1230" s="512"/>
      <c r="G1230" s="512">
        <v>11400</v>
      </c>
      <c r="H1230" s="512" t="s">
        <v>35</v>
      </c>
      <c r="I1230" s="512"/>
      <c r="J1230" s="512" t="s">
        <v>186</v>
      </c>
      <c r="K1230" s="512" t="b">
        <v>1</v>
      </c>
      <c r="L1230" s="512">
        <v>4</v>
      </c>
      <c r="M1230" s="513">
        <v>2026</v>
      </c>
      <c r="N1230" s="514">
        <v>15341131</v>
      </c>
      <c r="O1230" s="515">
        <v>44620</v>
      </c>
      <c r="P1230" s="515">
        <v>44620</v>
      </c>
      <c r="Q1230" s="516">
        <v>0</v>
      </c>
    </row>
    <row r="1231" spans="1:17" ht="16.5">
      <c r="A1231" s="9">
        <v>2022</v>
      </c>
      <c r="B1231" s="10" t="s">
        <v>748</v>
      </c>
      <c r="C1231" s="511" t="s">
        <v>749</v>
      </c>
      <c r="D1231" s="512">
        <v>218000</v>
      </c>
      <c r="E1231" s="512">
        <v>0</v>
      </c>
      <c r="F1231" s="512"/>
      <c r="G1231" s="512">
        <v>82226</v>
      </c>
      <c r="H1231" s="512" t="s">
        <v>280</v>
      </c>
      <c r="I1231" s="512" t="s">
        <v>785</v>
      </c>
      <c r="J1231" s="512" t="s">
        <v>228</v>
      </c>
      <c r="K1231" s="512" t="b">
        <v>0</v>
      </c>
      <c r="L1231" s="512">
        <v>5</v>
      </c>
      <c r="M1231" s="513">
        <v>2027</v>
      </c>
      <c r="N1231" s="514">
        <v>0.11169999999999999</v>
      </c>
      <c r="O1231" s="515">
        <v>44620</v>
      </c>
      <c r="P1231" s="515">
        <v>44620</v>
      </c>
      <c r="Q1231" s="516">
        <v>0</v>
      </c>
    </row>
    <row r="1232" spans="1:17" ht="16.5">
      <c r="A1232" s="9">
        <v>2022</v>
      </c>
      <c r="B1232" s="10" t="s">
        <v>748</v>
      </c>
      <c r="C1232" s="511" t="s">
        <v>749</v>
      </c>
      <c r="D1232" s="512">
        <v>218000</v>
      </c>
      <c r="E1232" s="512">
        <v>0</v>
      </c>
      <c r="F1232" s="512"/>
      <c r="G1232" s="512">
        <v>82226</v>
      </c>
      <c r="H1232" s="512" t="s">
        <v>280</v>
      </c>
      <c r="I1232" s="512" t="s">
        <v>785</v>
      </c>
      <c r="J1232" s="512" t="s">
        <v>228</v>
      </c>
      <c r="K1232" s="512" t="b">
        <v>0</v>
      </c>
      <c r="L1232" s="512">
        <v>11</v>
      </c>
      <c r="M1232" s="513">
        <v>2033</v>
      </c>
      <c r="N1232" s="514">
        <v>0.14069999999999999</v>
      </c>
      <c r="O1232" s="515">
        <v>44620</v>
      </c>
      <c r="P1232" s="515">
        <v>44620</v>
      </c>
      <c r="Q1232" s="516">
        <v>0</v>
      </c>
    </row>
    <row r="1233" spans="1:17" ht="16.5">
      <c r="A1233" s="9">
        <v>2022</v>
      </c>
      <c r="B1233" s="10" t="s">
        <v>748</v>
      </c>
      <c r="C1233" s="511" t="s">
        <v>749</v>
      </c>
      <c r="D1233" s="512">
        <v>218000</v>
      </c>
      <c r="E1233" s="512">
        <v>0</v>
      </c>
      <c r="F1233" s="512"/>
      <c r="G1233" s="512">
        <v>82226</v>
      </c>
      <c r="H1233" s="512" t="s">
        <v>280</v>
      </c>
      <c r="I1233" s="512" t="s">
        <v>785</v>
      </c>
      <c r="J1233" s="512" t="s">
        <v>228</v>
      </c>
      <c r="K1233" s="512" t="b">
        <v>0</v>
      </c>
      <c r="L1233" s="512">
        <v>10</v>
      </c>
      <c r="M1233" s="513">
        <v>2032</v>
      </c>
      <c r="N1233" s="514">
        <v>0.13950000000000001</v>
      </c>
      <c r="O1233" s="515">
        <v>44620</v>
      </c>
      <c r="P1233" s="515">
        <v>44620</v>
      </c>
      <c r="Q1233" s="516">
        <v>0</v>
      </c>
    </row>
    <row r="1234" spans="1:17" ht="16.5">
      <c r="A1234" s="9">
        <v>2022</v>
      </c>
      <c r="B1234" s="10" t="s">
        <v>748</v>
      </c>
      <c r="C1234" s="511" t="s">
        <v>749</v>
      </c>
      <c r="D1234" s="512">
        <v>218000</v>
      </c>
      <c r="E1234" s="512">
        <v>0</v>
      </c>
      <c r="F1234" s="512"/>
      <c r="G1234" s="512">
        <v>82226</v>
      </c>
      <c r="H1234" s="512" t="s">
        <v>280</v>
      </c>
      <c r="I1234" s="512" t="s">
        <v>785</v>
      </c>
      <c r="J1234" s="512" t="s">
        <v>228</v>
      </c>
      <c r="K1234" s="512" t="b">
        <v>0</v>
      </c>
      <c r="L1234" s="512">
        <v>0</v>
      </c>
      <c r="M1234" s="513">
        <v>2022</v>
      </c>
      <c r="N1234" s="514">
        <v>5.0299999999999997E-2</v>
      </c>
      <c r="O1234" s="515">
        <v>44620</v>
      </c>
      <c r="P1234" s="515">
        <v>44620</v>
      </c>
      <c r="Q1234" s="516">
        <v>0</v>
      </c>
    </row>
    <row r="1235" spans="1:17" ht="16.5">
      <c r="A1235" s="9">
        <v>2022</v>
      </c>
      <c r="B1235" s="10" t="s">
        <v>748</v>
      </c>
      <c r="C1235" s="511" t="s">
        <v>749</v>
      </c>
      <c r="D1235" s="512">
        <v>218000</v>
      </c>
      <c r="E1235" s="512">
        <v>0</v>
      </c>
      <c r="F1235" s="512"/>
      <c r="G1235" s="512">
        <v>82226</v>
      </c>
      <c r="H1235" s="512" t="s">
        <v>280</v>
      </c>
      <c r="I1235" s="512" t="s">
        <v>785</v>
      </c>
      <c r="J1235" s="512" t="s">
        <v>228</v>
      </c>
      <c r="K1235" s="512" t="b">
        <v>0</v>
      </c>
      <c r="L1235" s="512">
        <v>9</v>
      </c>
      <c r="M1235" s="513">
        <v>2031</v>
      </c>
      <c r="N1235" s="514">
        <v>0.1371</v>
      </c>
      <c r="O1235" s="515">
        <v>44620</v>
      </c>
      <c r="P1235" s="515">
        <v>44620</v>
      </c>
      <c r="Q1235" s="516">
        <v>0</v>
      </c>
    </row>
    <row r="1236" spans="1:17" ht="16.5">
      <c r="A1236" s="9">
        <v>2022</v>
      </c>
      <c r="B1236" s="10" t="s">
        <v>748</v>
      </c>
      <c r="C1236" s="511" t="s">
        <v>749</v>
      </c>
      <c r="D1236" s="512">
        <v>218000</v>
      </c>
      <c r="E1236" s="512">
        <v>0</v>
      </c>
      <c r="F1236" s="512"/>
      <c r="G1236" s="512">
        <v>82226</v>
      </c>
      <c r="H1236" s="512" t="s">
        <v>280</v>
      </c>
      <c r="I1236" s="512" t="s">
        <v>785</v>
      </c>
      <c r="J1236" s="512" t="s">
        <v>228</v>
      </c>
      <c r="K1236" s="512" t="b">
        <v>0</v>
      </c>
      <c r="L1236" s="512">
        <v>8</v>
      </c>
      <c r="M1236" s="513">
        <v>2030</v>
      </c>
      <c r="N1236" s="514">
        <v>0.13350000000000001</v>
      </c>
      <c r="O1236" s="515">
        <v>44620</v>
      </c>
      <c r="P1236" s="515">
        <v>44620</v>
      </c>
      <c r="Q1236" s="516">
        <v>0</v>
      </c>
    </row>
    <row r="1237" spans="1:17" ht="16.5">
      <c r="A1237" s="9">
        <v>2022</v>
      </c>
      <c r="B1237" s="10" t="s">
        <v>748</v>
      </c>
      <c r="C1237" s="511" t="s">
        <v>749</v>
      </c>
      <c r="D1237" s="512">
        <v>218000</v>
      </c>
      <c r="E1237" s="512">
        <v>0</v>
      </c>
      <c r="F1237" s="512"/>
      <c r="G1237" s="512">
        <v>82226</v>
      </c>
      <c r="H1237" s="512" t="s">
        <v>280</v>
      </c>
      <c r="I1237" s="512" t="s">
        <v>785</v>
      </c>
      <c r="J1237" s="512" t="s">
        <v>228</v>
      </c>
      <c r="K1237" s="512" t="b">
        <v>0</v>
      </c>
      <c r="L1237" s="512">
        <v>7</v>
      </c>
      <c r="M1237" s="513">
        <v>2029</v>
      </c>
      <c r="N1237" s="514">
        <v>0.12870000000000001</v>
      </c>
      <c r="O1237" s="515">
        <v>44620</v>
      </c>
      <c r="P1237" s="515">
        <v>44620</v>
      </c>
      <c r="Q1237" s="516">
        <v>0</v>
      </c>
    </row>
    <row r="1238" spans="1:17" ht="16.5">
      <c r="A1238" s="9">
        <v>2022</v>
      </c>
      <c r="B1238" s="10" t="s">
        <v>748</v>
      </c>
      <c r="C1238" s="511" t="s">
        <v>749</v>
      </c>
      <c r="D1238" s="512">
        <v>218000</v>
      </c>
      <c r="E1238" s="512">
        <v>0</v>
      </c>
      <c r="F1238" s="512"/>
      <c r="G1238" s="512">
        <v>82226</v>
      </c>
      <c r="H1238" s="512" t="s">
        <v>280</v>
      </c>
      <c r="I1238" s="512" t="s">
        <v>785</v>
      </c>
      <c r="J1238" s="512" t="s">
        <v>228</v>
      </c>
      <c r="K1238" s="512" t="b">
        <v>0</v>
      </c>
      <c r="L1238" s="512">
        <v>4</v>
      </c>
      <c r="M1238" s="513">
        <v>2026</v>
      </c>
      <c r="N1238" s="514">
        <v>0.1007</v>
      </c>
      <c r="O1238" s="515">
        <v>44620</v>
      </c>
      <c r="P1238" s="515">
        <v>44620</v>
      </c>
      <c r="Q1238" s="516">
        <v>0</v>
      </c>
    </row>
    <row r="1239" spans="1:17" ht="16.5">
      <c r="A1239" s="9">
        <v>2022</v>
      </c>
      <c r="B1239" s="10" t="s">
        <v>748</v>
      </c>
      <c r="C1239" s="511" t="s">
        <v>749</v>
      </c>
      <c r="D1239" s="512">
        <v>218000</v>
      </c>
      <c r="E1239" s="512">
        <v>0</v>
      </c>
      <c r="F1239" s="512"/>
      <c r="G1239" s="512">
        <v>82226</v>
      </c>
      <c r="H1239" s="512" t="s">
        <v>280</v>
      </c>
      <c r="I1239" s="512" t="s">
        <v>785</v>
      </c>
      <c r="J1239" s="512" t="s">
        <v>228</v>
      </c>
      <c r="K1239" s="512" t="b">
        <v>0</v>
      </c>
      <c r="L1239" s="512">
        <v>3</v>
      </c>
      <c r="M1239" s="513">
        <v>2025</v>
      </c>
      <c r="N1239" s="514">
        <v>8.8300000000000003E-2</v>
      </c>
      <c r="O1239" s="515">
        <v>44620</v>
      </c>
      <c r="P1239" s="515">
        <v>44620</v>
      </c>
      <c r="Q1239" s="516">
        <v>0</v>
      </c>
    </row>
    <row r="1240" spans="1:17" ht="16.5">
      <c r="A1240" s="9">
        <v>2022</v>
      </c>
      <c r="B1240" s="10" t="s">
        <v>748</v>
      </c>
      <c r="C1240" s="511" t="s">
        <v>749</v>
      </c>
      <c r="D1240" s="512">
        <v>218000</v>
      </c>
      <c r="E1240" s="512">
        <v>0</v>
      </c>
      <c r="F1240" s="512"/>
      <c r="G1240" s="512">
        <v>82226</v>
      </c>
      <c r="H1240" s="512" t="s">
        <v>280</v>
      </c>
      <c r="I1240" s="512" t="s">
        <v>785</v>
      </c>
      <c r="J1240" s="512" t="s">
        <v>228</v>
      </c>
      <c r="K1240" s="512" t="b">
        <v>0</v>
      </c>
      <c r="L1240" s="512">
        <v>1</v>
      </c>
      <c r="M1240" s="513">
        <v>2023</v>
      </c>
      <c r="N1240" s="514">
        <v>7.6899999999999996E-2</v>
      </c>
      <c r="O1240" s="515">
        <v>44620</v>
      </c>
      <c r="P1240" s="515">
        <v>44620</v>
      </c>
      <c r="Q1240" s="516">
        <v>0</v>
      </c>
    </row>
    <row r="1241" spans="1:17" ht="16.5">
      <c r="A1241" s="9">
        <v>2022</v>
      </c>
      <c r="B1241" s="10" t="s">
        <v>748</v>
      </c>
      <c r="C1241" s="511" t="s">
        <v>749</v>
      </c>
      <c r="D1241" s="512">
        <v>218000</v>
      </c>
      <c r="E1241" s="512">
        <v>0</v>
      </c>
      <c r="F1241" s="512"/>
      <c r="G1241" s="512">
        <v>82226</v>
      </c>
      <c r="H1241" s="512" t="s">
        <v>280</v>
      </c>
      <c r="I1241" s="512" t="s">
        <v>785</v>
      </c>
      <c r="J1241" s="512" t="s">
        <v>228</v>
      </c>
      <c r="K1241" s="512" t="b">
        <v>0</v>
      </c>
      <c r="L1241" s="512">
        <v>6</v>
      </c>
      <c r="M1241" s="513">
        <v>2028</v>
      </c>
      <c r="N1241" s="514">
        <v>0.1215</v>
      </c>
      <c r="O1241" s="515">
        <v>44620</v>
      </c>
      <c r="P1241" s="515">
        <v>44620</v>
      </c>
      <c r="Q1241" s="516">
        <v>0</v>
      </c>
    </row>
    <row r="1242" spans="1:17" ht="16.5">
      <c r="A1242" s="9">
        <v>2022</v>
      </c>
      <c r="B1242" s="10" t="s">
        <v>748</v>
      </c>
      <c r="C1242" s="511" t="s">
        <v>749</v>
      </c>
      <c r="D1242" s="512">
        <v>218000</v>
      </c>
      <c r="E1242" s="512">
        <v>0</v>
      </c>
      <c r="F1242" s="512"/>
      <c r="G1242" s="512">
        <v>82226</v>
      </c>
      <c r="H1242" s="512" t="s">
        <v>280</v>
      </c>
      <c r="I1242" s="512" t="s">
        <v>785</v>
      </c>
      <c r="J1242" s="512" t="s">
        <v>228</v>
      </c>
      <c r="K1242" s="512" t="b">
        <v>0</v>
      </c>
      <c r="L1242" s="512">
        <v>2</v>
      </c>
      <c r="M1242" s="513">
        <v>2024</v>
      </c>
      <c r="N1242" s="514">
        <v>7.5800000000000006E-2</v>
      </c>
      <c r="O1242" s="515">
        <v>44620</v>
      </c>
      <c r="P1242" s="515">
        <v>44620</v>
      </c>
      <c r="Q1242" s="516">
        <v>0</v>
      </c>
    </row>
    <row r="1243" spans="1:17" ht="16.5">
      <c r="A1243" s="9">
        <v>2022</v>
      </c>
      <c r="B1243" s="10" t="s">
        <v>748</v>
      </c>
      <c r="C1243" s="511" t="s">
        <v>749</v>
      </c>
      <c r="D1243" s="512">
        <v>218000</v>
      </c>
      <c r="E1243" s="512">
        <v>0</v>
      </c>
      <c r="F1243" s="512"/>
      <c r="G1243" s="512">
        <v>11300</v>
      </c>
      <c r="H1243" s="512" t="s">
        <v>34</v>
      </c>
      <c r="I1243" s="512"/>
      <c r="J1243" s="512" t="s">
        <v>185</v>
      </c>
      <c r="K1243" s="512" t="b">
        <v>1</v>
      </c>
      <c r="L1243" s="512">
        <v>2</v>
      </c>
      <c r="M1243" s="513">
        <v>2024</v>
      </c>
      <c r="N1243" s="514">
        <v>16656771</v>
      </c>
      <c r="O1243" s="515">
        <v>44620</v>
      </c>
      <c r="P1243" s="515">
        <v>44620</v>
      </c>
      <c r="Q1243" s="516">
        <v>0</v>
      </c>
    </row>
    <row r="1244" spans="1:17" ht="16.5">
      <c r="A1244" s="9">
        <v>2022</v>
      </c>
      <c r="B1244" s="10" t="s">
        <v>748</v>
      </c>
      <c r="C1244" s="511" t="s">
        <v>749</v>
      </c>
      <c r="D1244" s="512">
        <v>218000</v>
      </c>
      <c r="E1244" s="512">
        <v>0</v>
      </c>
      <c r="F1244" s="512"/>
      <c r="G1244" s="512">
        <v>11300</v>
      </c>
      <c r="H1244" s="512" t="s">
        <v>34</v>
      </c>
      <c r="I1244" s="512"/>
      <c r="J1244" s="512" t="s">
        <v>185</v>
      </c>
      <c r="K1244" s="512" t="b">
        <v>1</v>
      </c>
      <c r="L1244" s="512">
        <v>9</v>
      </c>
      <c r="M1244" s="513">
        <v>2031</v>
      </c>
      <c r="N1244" s="514">
        <v>20785455</v>
      </c>
      <c r="O1244" s="515">
        <v>44620</v>
      </c>
      <c r="P1244" s="515">
        <v>44620</v>
      </c>
      <c r="Q1244" s="516">
        <v>0</v>
      </c>
    </row>
    <row r="1245" spans="1:17" ht="16.5">
      <c r="A1245" s="9">
        <v>2022</v>
      </c>
      <c r="B1245" s="10" t="s">
        <v>748</v>
      </c>
      <c r="C1245" s="511" t="s">
        <v>749</v>
      </c>
      <c r="D1245" s="512">
        <v>218000</v>
      </c>
      <c r="E1245" s="512">
        <v>0</v>
      </c>
      <c r="F1245" s="512"/>
      <c r="G1245" s="512">
        <v>11300</v>
      </c>
      <c r="H1245" s="512" t="s">
        <v>34</v>
      </c>
      <c r="I1245" s="512"/>
      <c r="J1245" s="512" t="s">
        <v>185</v>
      </c>
      <c r="K1245" s="512" t="b">
        <v>1</v>
      </c>
      <c r="L1245" s="512">
        <v>8</v>
      </c>
      <c r="M1245" s="513">
        <v>2030</v>
      </c>
      <c r="N1245" s="514">
        <v>20219314</v>
      </c>
      <c r="O1245" s="515">
        <v>44620</v>
      </c>
      <c r="P1245" s="515">
        <v>44620</v>
      </c>
      <c r="Q1245" s="516">
        <v>0</v>
      </c>
    </row>
    <row r="1246" spans="1:17" ht="16.5">
      <c r="A1246" s="9">
        <v>2022</v>
      </c>
      <c r="B1246" s="10" t="s">
        <v>748</v>
      </c>
      <c r="C1246" s="511" t="s">
        <v>749</v>
      </c>
      <c r="D1246" s="512">
        <v>218000</v>
      </c>
      <c r="E1246" s="512">
        <v>0</v>
      </c>
      <c r="F1246" s="512"/>
      <c r="G1246" s="512">
        <v>11300</v>
      </c>
      <c r="H1246" s="512" t="s">
        <v>34</v>
      </c>
      <c r="I1246" s="512"/>
      <c r="J1246" s="512" t="s">
        <v>185</v>
      </c>
      <c r="K1246" s="512" t="b">
        <v>1</v>
      </c>
      <c r="L1246" s="512">
        <v>0</v>
      </c>
      <c r="M1246" s="513">
        <v>2022</v>
      </c>
      <c r="N1246" s="514">
        <v>15519285</v>
      </c>
      <c r="O1246" s="515">
        <v>44620</v>
      </c>
      <c r="P1246" s="515">
        <v>44620</v>
      </c>
      <c r="Q1246" s="516">
        <v>0</v>
      </c>
    </row>
    <row r="1247" spans="1:17" ht="16.5">
      <c r="A1247" s="9">
        <v>2022</v>
      </c>
      <c r="B1247" s="10" t="s">
        <v>748</v>
      </c>
      <c r="C1247" s="511" t="s">
        <v>749</v>
      </c>
      <c r="D1247" s="512">
        <v>218000</v>
      </c>
      <c r="E1247" s="512">
        <v>0</v>
      </c>
      <c r="F1247" s="512"/>
      <c r="G1247" s="512">
        <v>11300</v>
      </c>
      <c r="H1247" s="512" t="s">
        <v>34</v>
      </c>
      <c r="I1247" s="512"/>
      <c r="J1247" s="512" t="s">
        <v>185</v>
      </c>
      <c r="K1247" s="512" t="b">
        <v>1</v>
      </c>
      <c r="L1247" s="512">
        <v>1</v>
      </c>
      <c r="M1247" s="513">
        <v>2023</v>
      </c>
      <c r="N1247" s="514">
        <v>16093499</v>
      </c>
      <c r="O1247" s="515">
        <v>44620</v>
      </c>
      <c r="P1247" s="515">
        <v>44620</v>
      </c>
      <c r="Q1247" s="516">
        <v>0</v>
      </c>
    </row>
    <row r="1248" spans="1:17" ht="16.5">
      <c r="A1248" s="9">
        <v>2022</v>
      </c>
      <c r="B1248" s="10" t="s">
        <v>748</v>
      </c>
      <c r="C1248" s="511" t="s">
        <v>749</v>
      </c>
      <c r="D1248" s="512">
        <v>218000</v>
      </c>
      <c r="E1248" s="512">
        <v>0</v>
      </c>
      <c r="F1248" s="512"/>
      <c r="G1248" s="512">
        <v>11300</v>
      </c>
      <c r="H1248" s="512" t="s">
        <v>34</v>
      </c>
      <c r="I1248" s="512"/>
      <c r="J1248" s="512" t="s">
        <v>185</v>
      </c>
      <c r="K1248" s="512" t="b">
        <v>1</v>
      </c>
      <c r="L1248" s="512">
        <v>6</v>
      </c>
      <c r="M1248" s="513">
        <v>2028</v>
      </c>
      <c r="N1248" s="514">
        <v>19058661</v>
      </c>
      <c r="O1248" s="515">
        <v>44620</v>
      </c>
      <c r="P1248" s="515">
        <v>44620</v>
      </c>
      <c r="Q1248" s="516">
        <v>0</v>
      </c>
    </row>
    <row r="1249" spans="1:17" ht="16.5">
      <c r="A1249" s="9">
        <v>2022</v>
      </c>
      <c r="B1249" s="10" t="s">
        <v>748</v>
      </c>
      <c r="C1249" s="511" t="s">
        <v>749</v>
      </c>
      <c r="D1249" s="512">
        <v>218000</v>
      </c>
      <c r="E1249" s="512">
        <v>0</v>
      </c>
      <c r="F1249" s="512"/>
      <c r="G1249" s="512">
        <v>11300</v>
      </c>
      <c r="H1249" s="512" t="s">
        <v>34</v>
      </c>
      <c r="I1249" s="512"/>
      <c r="J1249" s="512" t="s">
        <v>185</v>
      </c>
      <c r="K1249" s="512" t="b">
        <v>1</v>
      </c>
      <c r="L1249" s="512">
        <v>4</v>
      </c>
      <c r="M1249" s="513">
        <v>2026</v>
      </c>
      <c r="N1249" s="514">
        <v>17843150</v>
      </c>
      <c r="O1249" s="515">
        <v>44620</v>
      </c>
      <c r="P1249" s="515">
        <v>44620</v>
      </c>
      <c r="Q1249" s="516">
        <v>0</v>
      </c>
    </row>
    <row r="1250" spans="1:17" ht="16.5">
      <c r="A1250" s="9">
        <v>2022</v>
      </c>
      <c r="B1250" s="10" t="s">
        <v>748</v>
      </c>
      <c r="C1250" s="511" t="s">
        <v>749</v>
      </c>
      <c r="D1250" s="512">
        <v>218000</v>
      </c>
      <c r="E1250" s="512">
        <v>0</v>
      </c>
      <c r="F1250" s="512"/>
      <c r="G1250" s="512">
        <v>11300</v>
      </c>
      <c r="H1250" s="512" t="s">
        <v>34</v>
      </c>
      <c r="I1250" s="512"/>
      <c r="J1250" s="512" t="s">
        <v>185</v>
      </c>
      <c r="K1250" s="512" t="b">
        <v>1</v>
      </c>
      <c r="L1250" s="512">
        <v>5</v>
      </c>
      <c r="M1250" s="513">
        <v>2027</v>
      </c>
      <c r="N1250" s="514">
        <v>18449817</v>
      </c>
      <c r="O1250" s="515">
        <v>44620</v>
      </c>
      <c r="P1250" s="515">
        <v>44620</v>
      </c>
      <c r="Q1250" s="516">
        <v>0</v>
      </c>
    </row>
    <row r="1251" spans="1:17" ht="16.5">
      <c r="A1251" s="9">
        <v>2022</v>
      </c>
      <c r="B1251" s="10" t="s">
        <v>748</v>
      </c>
      <c r="C1251" s="511" t="s">
        <v>749</v>
      </c>
      <c r="D1251" s="512">
        <v>218000</v>
      </c>
      <c r="E1251" s="512">
        <v>0</v>
      </c>
      <c r="F1251" s="512"/>
      <c r="G1251" s="512">
        <v>11300</v>
      </c>
      <c r="H1251" s="512" t="s">
        <v>34</v>
      </c>
      <c r="I1251" s="512"/>
      <c r="J1251" s="512" t="s">
        <v>185</v>
      </c>
      <c r="K1251" s="512" t="b">
        <v>1</v>
      </c>
      <c r="L1251" s="512">
        <v>11</v>
      </c>
      <c r="M1251" s="513">
        <v>2033</v>
      </c>
      <c r="N1251" s="514">
        <v>21901675</v>
      </c>
      <c r="O1251" s="515">
        <v>44620</v>
      </c>
      <c r="P1251" s="515">
        <v>44620</v>
      </c>
      <c r="Q1251" s="516">
        <v>0</v>
      </c>
    </row>
    <row r="1252" spans="1:17" ht="16.5">
      <c r="A1252" s="9">
        <v>2022</v>
      </c>
      <c r="B1252" s="10" t="s">
        <v>748</v>
      </c>
      <c r="C1252" s="511" t="s">
        <v>749</v>
      </c>
      <c r="D1252" s="512">
        <v>218000</v>
      </c>
      <c r="E1252" s="512">
        <v>0</v>
      </c>
      <c r="F1252" s="512"/>
      <c r="G1252" s="512">
        <v>11300</v>
      </c>
      <c r="H1252" s="512" t="s">
        <v>34</v>
      </c>
      <c r="I1252" s="512"/>
      <c r="J1252" s="512" t="s">
        <v>185</v>
      </c>
      <c r="K1252" s="512" t="b">
        <v>1</v>
      </c>
      <c r="L1252" s="512">
        <v>10</v>
      </c>
      <c r="M1252" s="513">
        <v>2032</v>
      </c>
      <c r="N1252" s="514">
        <v>21346662</v>
      </c>
      <c r="O1252" s="515">
        <v>44620</v>
      </c>
      <c r="P1252" s="515">
        <v>44620</v>
      </c>
      <c r="Q1252" s="516">
        <v>0</v>
      </c>
    </row>
    <row r="1253" spans="1:17" ht="16.5">
      <c r="A1253" s="9">
        <v>2022</v>
      </c>
      <c r="B1253" s="10" t="s">
        <v>748</v>
      </c>
      <c r="C1253" s="511" t="s">
        <v>749</v>
      </c>
      <c r="D1253" s="512">
        <v>218000</v>
      </c>
      <c r="E1253" s="512">
        <v>0</v>
      </c>
      <c r="F1253" s="512"/>
      <c r="G1253" s="512">
        <v>11300</v>
      </c>
      <c r="H1253" s="512" t="s">
        <v>34</v>
      </c>
      <c r="I1253" s="512"/>
      <c r="J1253" s="512" t="s">
        <v>185</v>
      </c>
      <c r="K1253" s="512" t="b">
        <v>1</v>
      </c>
      <c r="L1253" s="512">
        <v>7</v>
      </c>
      <c r="M1253" s="513">
        <v>2029</v>
      </c>
      <c r="N1253" s="514">
        <v>19649479</v>
      </c>
      <c r="O1253" s="515">
        <v>44620</v>
      </c>
      <c r="P1253" s="515">
        <v>44620</v>
      </c>
      <c r="Q1253" s="516">
        <v>0</v>
      </c>
    </row>
    <row r="1254" spans="1:17" ht="16.5">
      <c r="A1254" s="9">
        <v>2022</v>
      </c>
      <c r="B1254" s="10" t="s">
        <v>748</v>
      </c>
      <c r="C1254" s="511" t="s">
        <v>749</v>
      </c>
      <c r="D1254" s="512">
        <v>218000</v>
      </c>
      <c r="E1254" s="512">
        <v>0</v>
      </c>
      <c r="F1254" s="512"/>
      <c r="G1254" s="512">
        <v>11300</v>
      </c>
      <c r="H1254" s="512" t="s">
        <v>34</v>
      </c>
      <c r="I1254" s="512"/>
      <c r="J1254" s="512" t="s">
        <v>185</v>
      </c>
      <c r="K1254" s="512" t="b">
        <v>1</v>
      </c>
      <c r="L1254" s="512">
        <v>3</v>
      </c>
      <c r="M1254" s="513">
        <v>2025</v>
      </c>
      <c r="N1254" s="514">
        <v>17239758</v>
      </c>
      <c r="O1254" s="515">
        <v>44620</v>
      </c>
      <c r="P1254" s="515">
        <v>44620</v>
      </c>
      <c r="Q1254" s="516">
        <v>0</v>
      </c>
    </row>
    <row r="1255" spans="1:17" ht="16.5">
      <c r="A1255" s="9">
        <v>2022</v>
      </c>
      <c r="B1255" s="10" t="s">
        <v>748</v>
      </c>
      <c r="C1255" s="511" t="s">
        <v>749</v>
      </c>
      <c r="D1255" s="512">
        <v>218000</v>
      </c>
      <c r="E1255" s="512">
        <v>0</v>
      </c>
      <c r="F1255" s="512"/>
      <c r="G1255" s="512">
        <v>21310</v>
      </c>
      <c r="H1255" s="512" t="s">
        <v>42</v>
      </c>
      <c r="I1255" s="512"/>
      <c r="J1255" s="512" t="s">
        <v>197</v>
      </c>
      <c r="K1255" s="512" t="b">
        <v>0</v>
      </c>
      <c r="L1255" s="512">
        <v>2</v>
      </c>
      <c r="M1255" s="513">
        <v>2024</v>
      </c>
      <c r="N1255" s="514">
        <v>0</v>
      </c>
      <c r="O1255" s="515">
        <v>44620</v>
      </c>
      <c r="P1255" s="515">
        <v>44620</v>
      </c>
      <c r="Q1255" s="516">
        <v>0</v>
      </c>
    </row>
    <row r="1256" spans="1:17" ht="16.5">
      <c r="A1256" s="9">
        <v>2022</v>
      </c>
      <c r="B1256" s="10" t="s">
        <v>748</v>
      </c>
      <c r="C1256" s="511" t="s">
        <v>749</v>
      </c>
      <c r="D1256" s="512">
        <v>218000</v>
      </c>
      <c r="E1256" s="512">
        <v>0</v>
      </c>
      <c r="F1256" s="512"/>
      <c r="G1256" s="512">
        <v>21310</v>
      </c>
      <c r="H1256" s="512" t="s">
        <v>42</v>
      </c>
      <c r="I1256" s="512"/>
      <c r="J1256" s="512" t="s">
        <v>197</v>
      </c>
      <c r="K1256" s="512" t="b">
        <v>0</v>
      </c>
      <c r="L1256" s="512">
        <v>11</v>
      </c>
      <c r="M1256" s="513">
        <v>2033</v>
      </c>
      <c r="N1256" s="514">
        <v>0</v>
      </c>
      <c r="O1256" s="515">
        <v>44620</v>
      </c>
      <c r="P1256" s="515">
        <v>44620</v>
      </c>
      <c r="Q1256" s="516">
        <v>0</v>
      </c>
    </row>
    <row r="1257" spans="1:17" ht="16.5">
      <c r="A1257" s="9">
        <v>2022</v>
      </c>
      <c r="B1257" s="10" t="s">
        <v>748</v>
      </c>
      <c r="C1257" s="511" t="s">
        <v>749</v>
      </c>
      <c r="D1257" s="512">
        <v>218000</v>
      </c>
      <c r="E1257" s="512">
        <v>0</v>
      </c>
      <c r="F1257" s="512"/>
      <c r="G1257" s="512">
        <v>21310</v>
      </c>
      <c r="H1257" s="512" t="s">
        <v>42</v>
      </c>
      <c r="I1257" s="512"/>
      <c r="J1257" s="512" t="s">
        <v>197</v>
      </c>
      <c r="K1257" s="512" t="b">
        <v>0</v>
      </c>
      <c r="L1257" s="512">
        <v>7</v>
      </c>
      <c r="M1257" s="513">
        <v>2029</v>
      </c>
      <c r="N1257" s="514">
        <v>0</v>
      </c>
      <c r="O1257" s="515">
        <v>44620</v>
      </c>
      <c r="P1257" s="515">
        <v>44620</v>
      </c>
      <c r="Q1257" s="516">
        <v>0</v>
      </c>
    </row>
    <row r="1258" spans="1:17" ht="16.5">
      <c r="A1258" s="9">
        <v>2022</v>
      </c>
      <c r="B1258" s="10" t="s">
        <v>748</v>
      </c>
      <c r="C1258" s="511" t="s">
        <v>749</v>
      </c>
      <c r="D1258" s="512">
        <v>218000</v>
      </c>
      <c r="E1258" s="512">
        <v>0</v>
      </c>
      <c r="F1258" s="512"/>
      <c r="G1258" s="512">
        <v>21310</v>
      </c>
      <c r="H1258" s="512" t="s">
        <v>42</v>
      </c>
      <c r="I1258" s="512"/>
      <c r="J1258" s="512" t="s">
        <v>197</v>
      </c>
      <c r="K1258" s="512" t="b">
        <v>0</v>
      </c>
      <c r="L1258" s="512">
        <v>1</v>
      </c>
      <c r="M1258" s="513">
        <v>2023</v>
      </c>
      <c r="N1258" s="514">
        <v>0</v>
      </c>
      <c r="O1258" s="515">
        <v>44620</v>
      </c>
      <c r="P1258" s="515">
        <v>44620</v>
      </c>
      <c r="Q1258" s="516">
        <v>0</v>
      </c>
    </row>
    <row r="1259" spans="1:17" ht="16.5">
      <c r="A1259" s="9">
        <v>2022</v>
      </c>
      <c r="B1259" s="10" t="s">
        <v>748</v>
      </c>
      <c r="C1259" s="511" t="s">
        <v>749</v>
      </c>
      <c r="D1259" s="512">
        <v>218000</v>
      </c>
      <c r="E1259" s="512">
        <v>0</v>
      </c>
      <c r="F1259" s="512"/>
      <c r="G1259" s="512">
        <v>21310</v>
      </c>
      <c r="H1259" s="512" t="s">
        <v>42</v>
      </c>
      <c r="I1259" s="512"/>
      <c r="J1259" s="512" t="s">
        <v>197</v>
      </c>
      <c r="K1259" s="512" t="b">
        <v>0</v>
      </c>
      <c r="L1259" s="512">
        <v>3</v>
      </c>
      <c r="M1259" s="513">
        <v>2025</v>
      </c>
      <c r="N1259" s="514">
        <v>0</v>
      </c>
      <c r="O1259" s="515">
        <v>44620</v>
      </c>
      <c r="P1259" s="515">
        <v>44620</v>
      </c>
      <c r="Q1259" s="516">
        <v>0</v>
      </c>
    </row>
    <row r="1260" spans="1:17" ht="16.5">
      <c r="A1260" s="9">
        <v>2022</v>
      </c>
      <c r="B1260" s="10" t="s">
        <v>748</v>
      </c>
      <c r="C1260" s="511" t="s">
        <v>749</v>
      </c>
      <c r="D1260" s="512">
        <v>218000</v>
      </c>
      <c r="E1260" s="512">
        <v>0</v>
      </c>
      <c r="F1260" s="512"/>
      <c r="G1260" s="512">
        <v>21310</v>
      </c>
      <c r="H1260" s="512" t="s">
        <v>42</v>
      </c>
      <c r="I1260" s="512"/>
      <c r="J1260" s="512" t="s">
        <v>197</v>
      </c>
      <c r="K1260" s="512" t="b">
        <v>0</v>
      </c>
      <c r="L1260" s="512">
        <v>10</v>
      </c>
      <c r="M1260" s="513">
        <v>2032</v>
      </c>
      <c r="N1260" s="514">
        <v>0</v>
      </c>
      <c r="O1260" s="515">
        <v>44620</v>
      </c>
      <c r="P1260" s="515">
        <v>44620</v>
      </c>
      <c r="Q1260" s="516">
        <v>0</v>
      </c>
    </row>
    <row r="1261" spans="1:17" ht="16.5">
      <c r="A1261" s="9">
        <v>2022</v>
      </c>
      <c r="B1261" s="10" t="s">
        <v>748</v>
      </c>
      <c r="C1261" s="511" t="s">
        <v>749</v>
      </c>
      <c r="D1261" s="512">
        <v>218000</v>
      </c>
      <c r="E1261" s="512">
        <v>0</v>
      </c>
      <c r="F1261" s="512"/>
      <c r="G1261" s="512">
        <v>21310</v>
      </c>
      <c r="H1261" s="512" t="s">
        <v>42</v>
      </c>
      <c r="I1261" s="512"/>
      <c r="J1261" s="512" t="s">
        <v>197</v>
      </c>
      <c r="K1261" s="512" t="b">
        <v>0</v>
      </c>
      <c r="L1261" s="512">
        <v>8</v>
      </c>
      <c r="M1261" s="513">
        <v>2030</v>
      </c>
      <c r="N1261" s="514">
        <v>0</v>
      </c>
      <c r="O1261" s="515">
        <v>44620</v>
      </c>
      <c r="P1261" s="515">
        <v>44620</v>
      </c>
      <c r="Q1261" s="516">
        <v>0</v>
      </c>
    </row>
    <row r="1262" spans="1:17" ht="16.5">
      <c r="A1262" s="9">
        <v>2022</v>
      </c>
      <c r="B1262" s="10" t="s">
        <v>748</v>
      </c>
      <c r="C1262" s="511" t="s">
        <v>749</v>
      </c>
      <c r="D1262" s="512">
        <v>218000</v>
      </c>
      <c r="E1262" s="512">
        <v>0</v>
      </c>
      <c r="F1262" s="512"/>
      <c r="G1262" s="512">
        <v>21310</v>
      </c>
      <c r="H1262" s="512" t="s">
        <v>42</v>
      </c>
      <c r="I1262" s="512"/>
      <c r="J1262" s="512" t="s">
        <v>197</v>
      </c>
      <c r="K1262" s="512" t="b">
        <v>0</v>
      </c>
      <c r="L1262" s="512">
        <v>5</v>
      </c>
      <c r="M1262" s="513">
        <v>2027</v>
      </c>
      <c r="N1262" s="514">
        <v>0</v>
      </c>
      <c r="O1262" s="515">
        <v>44620</v>
      </c>
      <c r="P1262" s="515">
        <v>44620</v>
      </c>
      <c r="Q1262" s="516">
        <v>0</v>
      </c>
    </row>
    <row r="1263" spans="1:17" ht="16.5">
      <c r="A1263" s="9">
        <v>2022</v>
      </c>
      <c r="B1263" s="10" t="s">
        <v>748</v>
      </c>
      <c r="C1263" s="511" t="s">
        <v>749</v>
      </c>
      <c r="D1263" s="512">
        <v>218000</v>
      </c>
      <c r="E1263" s="512">
        <v>0</v>
      </c>
      <c r="F1263" s="512"/>
      <c r="G1263" s="512">
        <v>21310</v>
      </c>
      <c r="H1263" s="512" t="s">
        <v>42</v>
      </c>
      <c r="I1263" s="512"/>
      <c r="J1263" s="512" t="s">
        <v>197</v>
      </c>
      <c r="K1263" s="512" t="b">
        <v>0</v>
      </c>
      <c r="L1263" s="512">
        <v>9</v>
      </c>
      <c r="M1263" s="513">
        <v>2031</v>
      </c>
      <c r="N1263" s="514">
        <v>0</v>
      </c>
      <c r="O1263" s="515">
        <v>44620</v>
      </c>
      <c r="P1263" s="515">
        <v>44620</v>
      </c>
      <c r="Q1263" s="516">
        <v>0</v>
      </c>
    </row>
    <row r="1264" spans="1:17" ht="16.5">
      <c r="A1264" s="9">
        <v>2022</v>
      </c>
      <c r="B1264" s="10" t="s">
        <v>748</v>
      </c>
      <c r="C1264" s="511" t="s">
        <v>749</v>
      </c>
      <c r="D1264" s="512">
        <v>218000</v>
      </c>
      <c r="E1264" s="512">
        <v>0</v>
      </c>
      <c r="F1264" s="512"/>
      <c r="G1264" s="512">
        <v>21310</v>
      </c>
      <c r="H1264" s="512" t="s">
        <v>42</v>
      </c>
      <c r="I1264" s="512"/>
      <c r="J1264" s="512" t="s">
        <v>197</v>
      </c>
      <c r="K1264" s="512" t="b">
        <v>0</v>
      </c>
      <c r="L1264" s="512">
        <v>4</v>
      </c>
      <c r="M1264" s="513">
        <v>2026</v>
      </c>
      <c r="N1264" s="514">
        <v>0</v>
      </c>
      <c r="O1264" s="515">
        <v>44620</v>
      </c>
      <c r="P1264" s="515">
        <v>44620</v>
      </c>
      <c r="Q1264" s="516">
        <v>0</v>
      </c>
    </row>
    <row r="1265" spans="1:17" ht="16.5">
      <c r="A1265" s="9">
        <v>2022</v>
      </c>
      <c r="B1265" s="10" t="s">
        <v>748</v>
      </c>
      <c r="C1265" s="511" t="s">
        <v>749</v>
      </c>
      <c r="D1265" s="512">
        <v>218000</v>
      </c>
      <c r="E1265" s="512">
        <v>0</v>
      </c>
      <c r="F1265" s="512"/>
      <c r="G1265" s="512">
        <v>21310</v>
      </c>
      <c r="H1265" s="512" t="s">
        <v>42</v>
      </c>
      <c r="I1265" s="512"/>
      <c r="J1265" s="512" t="s">
        <v>197</v>
      </c>
      <c r="K1265" s="512" t="b">
        <v>0</v>
      </c>
      <c r="L1265" s="512">
        <v>6</v>
      </c>
      <c r="M1265" s="513">
        <v>2028</v>
      </c>
      <c r="N1265" s="514">
        <v>0</v>
      </c>
      <c r="O1265" s="515">
        <v>44620</v>
      </c>
      <c r="P1265" s="515">
        <v>44620</v>
      </c>
      <c r="Q1265" s="516">
        <v>0</v>
      </c>
    </row>
    <row r="1266" spans="1:17" ht="16.5">
      <c r="A1266" s="9">
        <v>2022</v>
      </c>
      <c r="B1266" s="10" t="s">
        <v>748</v>
      </c>
      <c r="C1266" s="511" t="s">
        <v>749</v>
      </c>
      <c r="D1266" s="512">
        <v>218000</v>
      </c>
      <c r="E1266" s="512">
        <v>0</v>
      </c>
      <c r="F1266" s="512"/>
      <c r="G1266" s="512">
        <v>21310</v>
      </c>
      <c r="H1266" s="512" t="s">
        <v>42</v>
      </c>
      <c r="I1266" s="512"/>
      <c r="J1266" s="512" t="s">
        <v>197</v>
      </c>
      <c r="K1266" s="512" t="b">
        <v>0</v>
      </c>
      <c r="L1266" s="512">
        <v>0</v>
      </c>
      <c r="M1266" s="513">
        <v>2022</v>
      </c>
      <c r="N1266" s="514">
        <v>0</v>
      </c>
      <c r="O1266" s="515">
        <v>44620</v>
      </c>
      <c r="P1266" s="515">
        <v>44620</v>
      </c>
      <c r="Q1266" s="516">
        <v>0</v>
      </c>
    </row>
    <row r="1267" spans="1:17" ht="16.5">
      <c r="A1267" s="9">
        <v>2022</v>
      </c>
      <c r="B1267" s="10" t="s">
        <v>748</v>
      </c>
      <c r="C1267" s="511" t="s">
        <v>749</v>
      </c>
      <c r="D1267" s="512">
        <v>218000</v>
      </c>
      <c r="E1267" s="512">
        <v>0</v>
      </c>
      <c r="F1267" s="512"/>
      <c r="G1267" s="512">
        <v>106000</v>
      </c>
      <c r="H1267" s="512">
        <v>10.6</v>
      </c>
      <c r="I1267" s="512"/>
      <c r="J1267" s="512" t="s">
        <v>786</v>
      </c>
      <c r="K1267" s="512" t="b">
        <v>1</v>
      </c>
      <c r="L1267" s="512">
        <v>3</v>
      </c>
      <c r="M1267" s="513">
        <v>2025</v>
      </c>
      <c r="N1267" s="514">
        <v>2000000</v>
      </c>
      <c r="O1267" s="515">
        <v>44620</v>
      </c>
      <c r="P1267" s="515">
        <v>44620</v>
      </c>
      <c r="Q1267" s="516">
        <v>0</v>
      </c>
    </row>
    <row r="1268" spans="1:17" ht="16.5">
      <c r="A1268" s="9">
        <v>2022</v>
      </c>
      <c r="B1268" s="10" t="s">
        <v>748</v>
      </c>
      <c r="C1268" s="511" t="s">
        <v>749</v>
      </c>
      <c r="D1268" s="512">
        <v>218000</v>
      </c>
      <c r="E1268" s="512">
        <v>0</v>
      </c>
      <c r="F1268" s="512"/>
      <c r="G1268" s="512">
        <v>106000</v>
      </c>
      <c r="H1268" s="512">
        <v>10.6</v>
      </c>
      <c r="I1268" s="512"/>
      <c r="J1268" s="512" t="s">
        <v>786</v>
      </c>
      <c r="K1268" s="512" t="b">
        <v>1</v>
      </c>
      <c r="L1268" s="512">
        <v>7</v>
      </c>
      <c r="M1268" s="513">
        <v>2029</v>
      </c>
      <c r="N1268" s="514">
        <v>500000</v>
      </c>
      <c r="O1268" s="515">
        <v>44620</v>
      </c>
      <c r="P1268" s="515">
        <v>44620</v>
      </c>
      <c r="Q1268" s="516">
        <v>0</v>
      </c>
    </row>
    <row r="1269" spans="1:17" ht="16.5">
      <c r="A1269" s="9">
        <v>2022</v>
      </c>
      <c r="B1269" s="10" t="s">
        <v>748</v>
      </c>
      <c r="C1269" s="511" t="s">
        <v>749</v>
      </c>
      <c r="D1269" s="512">
        <v>218000</v>
      </c>
      <c r="E1269" s="512">
        <v>0</v>
      </c>
      <c r="F1269" s="512"/>
      <c r="G1269" s="512">
        <v>106000</v>
      </c>
      <c r="H1269" s="512">
        <v>10.6</v>
      </c>
      <c r="I1269" s="512"/>
      <c r="J1269" s="512" t="s">
        <v>786</v>
      </c>
      <c r="K1269" s="512" t="b">
        <v>1</v>
      </c>
      <c r="L1269" s="512">
        <v>11</v>
      </c>
      <c r="M1269" s="513">
        <v>2033</v>
      </c>
      <c r="N1269" s="514">
        <v>0</v>
      </c>
      <c r="O1269" s="515">
        <v>44620</v>
      </c>
      <c r="P1269" s="515">
        <v>44620</v>
      </c>
      <c r="Q1269" s="516">
        <v>0</v>
      </c>
    </row>
    <row r="1270" spans="1:17" ht="16.5">
      <c r="A1270" s="9">
        <v>2022</v>
      </c>
      <c r="B1270" s="10" t="s">
        <v>748</v>
      </c>
      <c r="C1270" s="511" t="s">
        <v>749</v>
      </c>
      <c r="D1270" s="512">
        <v>218000</v>
      </c>
      <c r="E1270" s="512">
        <v>0</v>
      </c>
      <c r="F1270" s="512"/>
      <c r="G1270" s="512">
        <v>106000</v>
      </c>
      <c r="H1270" s="512">
        <v>10.6</v>
      </c>
      <c r="I1270" s="512"/>
      <c r="J1270" s="512" t="s">
        <v>786</v>
      </c>
      <c r="K1270" s="512" t="b">
        <v>1</v>
      </c>
      <c r="L1270" s="512">
        <v>9</v>
      </c>
      <c r="M1270" s="513">
        <v>2031</v>
      </c>
      <c r="N1270" s="514">
        <v>0</v>
      </c>
      <c r="O1270" s="515">
        <v>44620</v>
      </c>
      <c r="P1270" s="515">
        <v>44620</v>
      </c>
      <c r="Q1270" s="516">
        <v>0</v>
      </c>
    </row>
    <row r="1271" spans="1:17" ht="16.5">
      <c r="A1271" s="9">
        <v>2022</v>
      </c>
      <c r="B1271" s="10" t="s">
        <v>748</v>
      </c>
      <c r="C1271" s="511" t="s">
        <v>749</v>
      </c>
      <c r="D1271" s="512">
        <v>218000</v>
      </c>
      <c r="E1271" s="512">
        <v>0</v>
      </c>
      <c r="F1271" s="512"/>
      <c r="G1271" s="512">
        <v>106000</v>
      </c>
      <c r="H1271" s="512">
        <v>10.6</v>
      </c>
      <c r="I1271" s="512"/>
      <c r="J1271" s="512" t="s">
        <v>786</v>
      </c>
      <c r="K1271" s="512" t="b">
        <v>1</v>
      </c>
      <c r="L1271" s="512">
        <v>10</v>
      </c>
      <c r="M1271" s="513">
        <v>2032</v>
      </c>
      <c r="N1271" s="514">
        <v>0</v>
      </c>
      <c r="O1271" s="515">
        <v>44620</v>
      </c>
      <c r="P1271" s="515">
        <v>44620</v>
      </c>
      <c r="Q1271" s="516">
        <v>0</v>
      </c>
    </row>
    <row r="1272" spans="1:17" ht="16.5">
      <c r="A1272" s="9">
        <v>2022</v>
      </c>
      <c r="B1272" s="10" t="s">
        <v>748</v>
      </c>
      <c r="C1272" s="511" t="s">
        <v>749</v>
      </c>
      <c r="D1272" s="512">
        <v>218000</v>
      </c>
      <c r="E1272" s="512">
        <v>0</v>
      </c>
      <c r="F1272" s="512"/>
      <c r="G1272" s="512">
        <v>106000</v>
      </c>
      <c r="H1272" s="512">
        <v>10.6</v>
      </c>
      <c r="I1272" s="512"/>
      <c r="J1272" s="512" t="s">
        <v>786</v>
      </c>
      <c r="K1272" s="512" t="b">
        <v>1</v>
      </c>
      <c r="L1272" s="512">
        <v>2</v>
      </c>
      <c r="M1272" s="513">
        <v>2024</v>
      </c>
      <c r="N1272" s="514">
        <v>1915000</v>
      </c>
      <c r="O1272" s="515">
        <v>44620</v>
      </c>
      <c r="P1272" s="515">
        <v>44620</v>
      </c>
      <c r="Q1272" s="516">
        <v>0</v>
      </c>
    </row>
    <row r="1273" spans="1:17" ht="16.5">
      <c r="A1273" s="9">
        <v>2022</v>
      </c>
      <c r="B1273" s="10" t="s">
        <v>748</v>
      </c>
      <c r="C1273" s="511" t="s">
        <v>749</v>
      </c>
      <c r="D1273" s="512">
        <v>218000</v>
      </c>
      <c r="E1273" s="512">
        <v>0</v>
      </c>
      <c r="F1273" s="512"/>
      <c r="G1273" s="512">
        <v>106000</v>
      </c>
      <c r="H1273" s="512">
        <v>10.6</v>
      </c>
      <c r="I1273" s="512"/>
      <c r="J1273" s="512" t="s">
        <v>786</v>
      </c>
      <c r="K1273" s="512" t="b">
        <v>1</v>
      </c>
      <c r="L1273" s="512">
        <v>4</v>
      </c>
      <c r="M1273" s="513">
        <v>2026</v>
      </c>
      <c r="N1273" s="514">
        <v>2000000</v>
      </c>
      <c r="O1273" s="515">
        <v>44620</v>
      </c>
      <c r="P1273" s="515">
        <v>44620</v>
      </c>
      <c r="Q1273" s="516">
        <v>0</v>
      </c>
    </row>
    <row r="1274" spans="1:17" ht="16.5">
      <c r="A1274" s="9">
        <v>2022</v>
      </c>
      <c r="B1274" s="10" t="s">
        <v>748</v>
      </c>
      <c r="C1274" s="511" t="s">
        <v>749</v>
      </c>
      <c r="D1274" s="512">
        <v>218000</v>
      </c>
      <c r="E1274" s="512">
        <v>0</v>
      </c>
      <c r="F1274" s="512"/>
      <c r="G1274" s="512">
        <v>106000</v>
      </c>
      <c r="H1274" s="512">
        <v>10.6</v>
      </c>
      <c r="I1274" s="512"/>
      <c r="J1274" s="512" t="s">
        <v>786</v>
      </c>
      <c r="K1274" s="512" t="b">
        <v>1</v>
      </c>
      <c r="L1274" s="512">
        <v>6</v>
      </c>
      <c r="M1274" s="513">
        <v>2028</v>
      </c>
      <c r="N1274" s="514">
        <v>1500000</v>
      </c>
      <c r="O1274" s="515">
        <v>44620</v>
      </c>
      <c r="P1274" s="515">
        <v>44620</v>
      </c>
      <c r="Q1274" s="516">
        <v>0</v>
      </c>
    </row>
    <row r="1275" spans="1:17" ht="16.5">
      <c r="A1275" s="9">
        <v>2022</v>
      </c>
      <c r="B1275" s="10" t="s">
        <v>748</v>
      </c>
      <c r="C1275" s="511" t="s">
        <v>749</v>
      </c>
      <c r="D1275" s="512">
        <v>218000</v>
      </c>
      <c r="E1275" s="512">
        <v>0</v>
      </c>
      <c r="F1275" s="512"/>
      <c r="G1275" s="512">
        <v>106000</v>
      </c>
      <c r="H1275" s="512">
        <v>10.6</v>
      </c>
      <c r="I1275" s="512"/>
      <c r="J1275" s="512" t="s">
        <v>786</v>
      </c>
      <c r="K1275" s="512" t="b">
        <v>1</v>
      </c>
      <c r="L1275" s="512">
        <v>0</v>
      </c>
      <c r="M1275" s="513">
        <v>2022</v>
      </c>
      <c r="N1275" s="514">
        <v>0</v>
      </c>
      <c r="O1275" s="515">
        <v>44620</v>
      </c>
      <c r="P1275" s="515">
        <v>44620</v>
      </c>
      <c r="Q1275" s="516">
        <v>0</v>
      </c>
    </row>
    <row r="1276" spans="1:17" ht="16.5">
      <c r="A1276" s="9">
        <v>2022</v>
      </c>
      <c r="B1276" s="10" t="s">
        <v>748</v>
      </c>
      <c r="C1276" s="511" t="s">
        <v>749</v>
      </c>
      <c r="D1276" s="512">
        <v>218000</v>
      </c>
      <c r="E1276" s="512">
        <v>0</v>
      </c>
      <c r="F1276" s="512"/>
      <c r="G1276" s="512">
        <v>106000</v>
      </c>
      <c r="H1276" s="512">
        <v>10.6</v>
      </c>
      <c r="I1276" s="512"/>
      <c r="J1276" s="512" t="s">
        <v>786</v>
      </c>
      <c r="K1276" s="512" t="b">
        <v>1</v>
      </c>
      <c r="L1276" s="512">
        <v>5</v>
      </c>
      <c r="M1276" s="513">
        <v>2027</v>
      </c>
      <c r="N1276" s="514">
        <v>2000000</v>
      </c>
      <c r="O1276" s="515">
        <v>44620</v>
      </c>
      <c r="P1276" s="515">
        <v>44620</v>
      </c>
      <c r="Q1276" s="516">
        <v>0</v>
      </c>
    </row>
    <row r="1277" spans="1:17" ht="16.5">
      <c r="A1277" s="9">
        <v>2022</v>
      </c>
      <c r="B1277" s="10" t="s">
        <v>748</v>
      </c>
      <c r="C1277" s="511" t="s">
        <v>749</v>
      </c>
      <c r="D1277" s="512">
        <v>218000</v>
      </c>
      <c r="E1277" s="512">
        <v>0</v>
      </c>
      <c r="F1277" s="512"/>
      <c r="G1277" s="512">
        <v>106000</v>
      </c>
      <c r="H1277" s="512">
        <v>10.6</v>
      </c>
      <c r="I1277" s="512"/>
      <c r="J1277" s="512" t="s">
        <v>786</v>
      </c>
      <c r="K1277" s="512" t="b">
        <v>1</v>
      </c>
      <c r="L1277" s="512">
        <v>1</v>
      </c>
      <c r="M1277" s="513">
        <v>2023</v>
      </c>
      <c r="N1277" s="514">
        <v>2000000</v>
      </c>
      <c r="O1277" s="515">
        <v>44620</v>
      </c>
      <c r="P1277" s="515">
        <v>44620</v>
      </c>
      <c r="Q1277" s="516">
        <v>0</v>
      </c>
    </row>
    <row r="1278" spans="1:17" ht="16.5">
      <c r="A1278" s="9">
        <v>2022</v>
      </c>
      <c r="B1278" s="10" t="s">
        <v>748</v>
      </c>
      <c r="C1278" s="511" t="s">
        <v>749</v>
      </c>
      <c r="D1278" s="512">
        <v>218000</v>
      </c>
      <c r="E1278" s="512">
        <v>0</v>
      </c>
      <c r="F1278" s="512"/>
      <c r="G1278" s="512">
        <v>106000</v>
      </c>
      <c r="H1278" s="512">
        <v>10.6</v>
      </c>
      <c r="I1278" s="512"/>
      <c r="J1278" s="512" t="s">
        <v>786</v>
      </c>
      <c r="K1278" s="512" t="b">
        <v>1</v>
      </c>
      <c r="L1278" s="512">
        <v>8</v>
      </c>
      <c r="M1278" s="513">
        <v>2030</v>
      </c>
      <c r="N1278" s="514">
        <v>0</v>
      </c>
      <c r="O1278" s="515">
        <v>44620</v>
      </c>
      <c r="P1278" s="515">
        <v>44620</v>
      </c>
      <c r="Q1278" s="516">
        <v>0</v>
      </c>
    </row>
    <row r="1279" spans="1:17" ht="16.5">
      <c r="A1279" s="9">
        <v>2022</v>
      </c>
      <c r="B1279" s="10" t="s">
        <v>748</v>
      </c>
      <c r="C1279" s="511" t="s">
        <v>749</v>
      </c>
      <c r="D1279" s="512">
        <v>218000</v>
      </c>
      <c r="E1279" s="512">
        <v>0</v>
      </c>
      <c r="F1279" s="512"/>
      <c r="G1279" s="512">
        <v>109000</v>
      </c>
      <c r="H1279" s="512">
        <v>10.9</v>
      </c>
      <c r="I1279" s="512"/>
      <c r="J1279" s="512" t="s">
        <v>260</v>
      </c>
      <c r="K1279" s="512" t="b">
        <v>1</v>
      </c>
      <c r="L1279" s="512">
        <v>10</v>
      </c>
      <c r="M1279" s="513">
        <v>2032</v>
      </c>
      <c r="N1279" s="514">
        <v>0</v>
      </c>
      <c r="O1279" s="515">
        <v>44620</v>
      </c>
      <c r="P1279" s="515">
        <v>44620</v>
      </c>
      <c r="Q1279" s="516">
        <v>0</v>
      </c>
    </row>
    <row r="1280" spans="1:17" ht="16.5">
      <c r="A1280" s="9">
        <v>2022</v>
      </c>
      <c r="B1280" s="10" t="s">
        <v>748</v>
      </c>
      <c r="C1280" s="511" t="s">
        <v>749</v>
      </c>
      <c r="D1280" s="512">
        <v>218000</v>
      </c>
      <c r="E1280" s="512">
        <v>0</v>
      </c>
      <c r="F1280" s="512"/>
      <c r="G1280" s="512">
        <v>109000</v>
      </c>
      <c r="H1280" s="512">
        <v>10.9</v>
      </c>
      <c r="I1280" s="512"/>
      <c r="J1280" s="512" t="s">
        <v>260</v>
      </c>
      <c r="K1280" s="512" t="b">
        <v>1</v>
      </c>
      <c r="L1280" s="512">
        <v>2</v>
      </c>
      <c r="M1280" s="513">
        <v>2024</v>
      </c>
      <c r="N1280" s="514">
        <v>0</v>
      </c>
      <c r="O1280" s="515">
        <v>44620</v>
      </c>
      <c r="P1280" s="515">
        <v>44620</v>
      </c>
      <c r="Q1280" s="516">
        <v>0</v>
      </c>
    </row>
    <row r="1281" spans="1:17" ht="16.5">
      <c r="A1281" s="9">
        <v>2022</v>
      </c>
      <c r="B1281" s="10" t="s">
        <v>748</v>
      </c>
      <c r="C1281" s="511" t="s">
        <v>749</v>
      </c>
      <c r="D1281" s="512">
        <v>218000</v>
      </c>
      <c r="E1281" s="512">
        <v>0</v>
      </c>
      <c r="F1281" s="512"/>
      <c r="G1281" s="512">
        <v>109000</v>
      </c>
      <c r="H1281" s="512">
        <v>10.9</v>
      </c>
      <c r="I1281" s="512"/>
      <c r="J1281" s="512" t="s">
        <v>260</v>
      </c>
      <c r="K1281" s="512" t="b">
        <v>1</v>
      </c>
      <c r="L1281" s="512">
        <v>6</v>
      </c>
      <c r="M1281" s="513">
        <v>2028</v>
      </c>
      <c r="N1281" s="514">
        <v>0</v>
      </c>
      <c r="O1281" s="515">
        <v>44620</v>
      </c>
      <c r="P1281" s="515">
        <v>44620</v>
      </c>
      <c r="Q1281" s="516">
        <v>0</v>
      </c>
    </row>
    <row r="1282" spans="1:17" ht="16.5">
      <c r="A1282" s="9">
        <v>2022</v>
      </c>
      <c r="B1282" s="10" t="s">
        <v>748</v>
      </c>
      <c r="C1282" s="511" t="s">
        <v>749</v>
      </c>
      <c r="D1282" s="512">
        <v>218000</v>
      </c>
      <c r="E1282" s="512">
        <v>0</v>
      </c>
      <c r="F1282" s="512"/>
      <c r="G1282" s="512">
        <v>109000</v>
      </c>
      <c r="H1282" s="512">
        <v>10.9</v>
      </c>
      <c r="I1282" s="512"/>
      <c r="J1282" s="512" t="s">
        <v>260</v>
      </c>
      <c r="K1282" s="512" t="b">
        <v>1</v>
      </c>
      <c r="L1282" s="512">
        <v>7</v>
      </c>
      <c r="M1282" s="513">
        <v>2029</v>
      </c>
      <c r="N1282" s="514">
        <v>0</v>
      </c>
      <c r="O1282" s="515">
        <v>44620</v>
      </c>
      <c r="P1282" s="515">
        <v>44620</v>
      </c>
      <c r="Q1282" s="516">
        <v>0</v>
      </c>
    </row>
    <row r="1283" spans="1:17" ht="16.5">
      <c r="A1283" s="9">
        <v>2022</v>
      </c>
      <c r="B1283" s="10" t="s">
        <v>748</v>
      </c>
      <c r="C1283" s="511" t="s">
        <v>749</v>
      </c>
      <c r="D1283" s="512">
        <v>218000</v>
      </c>
      <c r="E1283" s="512">
        <v>0</v>
      </c>
      <c r="F1283" s="512"/>
      <c r="G1283" s="512">
        <v>109000</v>
      </c>
      <c r="H1283" s="512">
        <v>10.9</v>
      </c>
      <c r="I1283" s="512"/>
      <c r="J1283" s="512" t="s">
        <v>260</v>
      </c>
      <c r="K1283" s="512" t="b">
        <v>1</v>
      </c>
      <c r="L1283" s="512">
        <v>0</v>
      </c>
      <c r="M1283" s="513">
        <v>2022</v>
      </c>
      <c r="N1283" s="514">
        <v>0</v>
      </c>
      <c r="O1283" s="515">
        <v>44620</v>
      </c>
      <c r="P1283" s="515">
        <v>44620</v>
      </c>
      <c r="Q1283" s="516">
        <v>0</v>
      </c>
    </row>
    <row r="1284" spans="1:17" ht="16.5">
      <c r="A1284" s="9">
        <v>2022</v>
      </c>
      <c r="B1284" s="10" t="s">
        <v>748</v>
      </c>
      <c r="C1284" s="511" t="s">
        <v>749</v>
      </c>
      <c r="D1284" s="512">
        <v>218000</v>
      </c>
      <c r="E1284" s="512">
        <v>0</v>
      </c>
      <c r="F1284" s="512"/>
      <c r="G1284" s="512">
        <v>109000</v>
      </c>
      <c r="H1284" s="512">
        <v>10.9</v>
      </c>
      <c r="I1284" s="512"/>
      <c r="J1284" s="512" t="s">
        <v>260</v>
      </c>
      <c r="K1284" s="512" t="b">
        <v>1</v>
      </c>
      <c r="L1284" s="512">
        <v>9</v>
      </c>
      <c r="M1284" s="513">
        <v>2031</v>
      </c>
      <c r="N1284" s="514">
        <v>0</v>
      </c>
      <c r="O1284" s="515">
        <v>44620</v>
      </c>
      <c r="P1284" s="515">
        <v>44620</v>
      </c>
      <c r="Q1284" s="516">
        <v>0</v>
      </c>
    </row>
    <row r="1285" spans="1:17" ht="16.5">
      <c r="A1285" s="9">
        <v>2022</v>
      </c>
      <c r="B1285" s="10" t="s">
        <v>748</v>
      </c>
      <c r="C1285" s="511" t="s">
        <v>749</v>
      </c>
      <c r="D1285" s="512">
        <v>218000</v>
      </c>
      <c r="E1285" s="512">
        <v>0</v>
      </c>
      <c r="F1285" s="512"/>
      <c r="G1285" s="512">
        <v>109000</v>
      </c>
      <c r="H1285" s="512">
        <v>10.9</v>
      </c>
      <c r="I1285" s="512"/>
      <c r="J1285" s="512" t="s">
        <v>260</v>
      </c>
      <c r="K1285" s="512" t="b">
        <v>1</v>
      </c>
      <c r="L1285" s="512">
        <v>11</v>
      </c>
      <c r="M1285" s="513">
        <v>2033</v>
      </c>
      <c r="N1285" s="514">
        <v>0</v>
      </c>
      <c r="O1285" s="515">
        <v>44620</v>
      </c>
      <c r="P1285" s="515">
        <v>44620</v>
      </c>
      <c r="Q1285" s="516">
        <v>0</v>
      </c>
    </row>
    <row r="1286" spans="1:17" ht="16.5">
      <c r="A1286" s="9">
        <v>2022</v>
      </c>
      <c r="B1286" s="10" t="s">
        <v>748</v>
      </c>
      <c r="C1286" s="511" t="s">
        <v>749</v>
      </c>
      <c r="D1286" s="512">
        <v>218000</v>
      </c>
      <c r="E1286" s="512">
        <v>0</v>
      </c>
      <c r="F1286" s="512"/>
      <c r="G1286" s="512">
        <v>109000</v>
      </c>
      <c r="H1286" s="512">
        <v>10.9</v>
      </c>
      <c r="I1286" s="512"/>
      <c r="J1286" s="512" t="s">
        <v>260</v>
      </c>
      <c r="K1286" s="512" t="b">
        <v>1</v>
      </c>
      <c r="L1286" s="512">
        <v>1</v>
      </c>
      <c r="M1286" s="513">
        <v>2023</v>
      </c>
      <c r="N1286" s="514">
        <v>0</v>
      </c>
      <c r="O1286" s="515">
        <v>44620</v>
      </c>
      <c r="P1286" s="515">
        <v>44620</v>
      </c>
      <c r="Q1286" s="516">
        <v>0</v>
      </c>
    </row>
    <row r="1287" spans="1:17" ht="16.5">
      <c r="A1287" s="9">
        <v>2022</v>
      </c>
      <c r="B1287" s="10" t="s">
        <v>748</v>
      </c>
      <c r="C1287" s="511" t="s">
        <v>749</v>
      </c>
      <c r="D1287" s="512">
        <v>218000</v>
      </c>
      <c r="E1287" s="512">
        <v>0</v>
      </c>
      <c r="F1287" s="512"/>
      <c r="G1287" s="512">
        <v>109000</v>
      </c>
      <c r="H1287" s="512">
        <v>10.9</v>
      </c>
      <c r="I1287" s="512"/>
      <c r="J1287" s="512" t="s">
        <v>260</v>
      </c>
      <c r="K1287" s="512" t="b">
        <v>1</v>
      </c>
      <c r="L1287" s="512">
        <v>5</v>
      </c>
      <c r="M1287" s="513">
        <v>2027</v>
      </c>
      <c r="N1287" s="514">
        <v>0</v>
      </c>
      <c r="O1287" s="515">
        <v>44620</v>
      </c>
      <c r="P1287" s="515">
        <v>44620</v>
      </c>
      <c r="Q1287" s="516">
        <v>0</v>
      </c>
    </row>
    <row r="1288" spans="1:17" ht="16.5">
      <c r="A1288" s="9">
        <v>2022</v>
      </c>
      <c r="B1288" s="10" t="s">
        <v>748</v>
      </c>
      <c r="C1288" s="511" t="s">
        <v>749</v>
      </c>
      <c r="D1288" s="512">
        <v>218000</v>
      </c>
      <c r="E1288" s="512">
        <v>0</v>
      </c>
      <c r="F1288" s="512"/>
      <c r="G1288" s="512">
        <v>109000</v>
      </c>
      <c r="H1288" s="512">
        <v>10.9</v>
      </c>
      <c r="I1288" s="512"/>
      <c r="J1288" s="512" t="s">
        <v>260</v>
      </c>
      <c r="K1288" s="512" t="b">
        <v>1</v>
      </c>
      <c r="L1288" s="512">
        <v>3</v>
      </c>
      <c r="M1288" s="513">
        <v>2025</v>
      </c>
      <c r="N1288" s="514">
        <v>0</v>
      </c>
      <c r="O1288" s="515">
        <v>44620</v>
      </c>
      <c r="P1288" s="515">
        <v>44620</v>
      </c>
      <c r="Q1288" s="516">
        <v>0</v>
      </c>
    </row>
    <row r="1289" spans="1:17" ht="16.5">
      <c r="A1289" s="9">
        <v>2022</v>
      </c>
      <c r="B1289" s="10" t="s">
        <v>748</v>
      </c>
      <c r="C1289" s="511" t="s">
        <v>749</v>
      </c>
      <c r="D1289" s="512">
        <v>218000</v>
      </c>
      <c r="E1289" s="512">
        <v>0</v>
      </c>
      <c r="F1289" s="512"/>
      <c r="G1289" s="512">
        <v>109000</v>
      </c>
      <c r="H1289" s="512">
        <v>10.9</v>
      </c>
      <c r="I1289" s="512"/>
      <c r="J1289" s="512" t="s">
        <v>260</v>
      </c>
      <c r="K1289" s="512" t="b">
        <v>1</v>
      </c>
      <c r="L1289" s="512">
        <v>4</v>
      </c>
      <c r="M1289" s="513">
        <v>2026</v>
      </c>
      <c r="N1289" s="514">
        <v>0</v>
      </c>
      <c r="O1289" s="515">
        <v>44620</v>
      </c>
      <c r="P1289" s="515">
        <v>44620</v>
      </c>
      <c r="Q1289" s="516">
        <v>0</v>
      </c>
    </row>
    <row r="1290" spans="1:17" ht="16.5">
      <c r="A1290" s="9">
        <v>2022</v>
      </c>
      <c r="B1290" s="10" t="s">
        <v>748</v>
      </c>
      <c r="C1290" s="511" t="s">
        <v>749</v>
      </c>
      <c r="D1290" s="512">
        <v>218000</v>
      </c>
      <c r="E1290" s="512">
        <v>0</v>
      </c>
      <c r="F1290" s="512"/>
      <c r="G1290" s="512">
        <v>109000</v>
      </c>
      <c r="H1290" s="512">
        <v>10.9</v>
      </c>
      <c r="I1290" s="512"/>
      <c r="J1290" s="512" t="s">
        <v>260</v>
      </c>
      <c r="K1290" s="512" t="b">
        <v>1</v>
      </c>
      <c r="L1290" s="512">
        <v>8</v>
      </c>
      <c r="M1290" s="513">
        <v>2030</v>
      </c>
      <c r="N1290" s="514">
        <v>0</v>
      </c>
      <c r="O1290" s="515">
        <v>44620</v>
      </c>
      <c r="P1290" s="515">
        <v>44620</v>
      </c>
      <c r="Q1290" s="516">
        <v>0</v>
      </c>
    </row>
  </sheetData>
  <autoFilter ref="A6:Q7" xr:uid="{00000000-0009-0000-0000-000001000000}"/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W4"/>
  <sheetViews>
    <sheetView workbookViewId="0">
      <pane ySplit="3" topLeftCell="A4" activePane="bottomLeft" state="frozen"/>
      <selection activeCell="D1" sqref="D1"/>
      <selection pane="bottomLeft" activeCell="A4" sqref="A4"/>
    </sheetView>
  </sheetViews>
  <sheetFormatPr defaultRowHeight="14.25"/>
  <cols>
    <col min="1" max="1" width="9" style="14"/>
    <col min="2" max="2" width="12.5" style="14" customWidth="1"/>
    <col min="3" max="3" width="19.75" style="14" customWidth="1"/>
    <col min="4" max="6" width="9" style="14"/>
    <col min="7" max="7" width="6.25" style="14" customWidth="1"/>
    <col min="8" max="8" width="6.875" style="14" customWidth="1"/>
    <col min="9" max="9" width="11.25" style="14" customWidth="1"/>
    <col min="10" max="10" width="13.5" style="14" bestFit="1" customWidth="1"/>
    <col min="11" max="11" width="9" style="14"/>
    <col min="12" max="12" width="9" style="57"/>
    <col min="13" max="13" width="9" style="14"/>
    <col min="14" max="17" width="14" style="246" customWidth="1"/>
    <col min="18" max="21" width="14" style="14" customWidth="1"/>
    <col min="22" max="16384" width="9" style="14"/>
  </cols>
  <sheetData>
    <row r="1" spans="1:23" ht="15">
      <c r="A1" s="3" t="s">
        <v>22</v>
      </c>
      <c r="K1" s="6" t="s">
        <v>24</v>
      </c>
      <c r="L1" s="13">
        <f>MIN(M:M)</f>
        <v>0</v>
      </c>
      <c r="S1" s="13"/>
      <c r="T1" s="13"/>
      <c r="U1" s="13"/>
    </row>
    <row r="3" spans="1:23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166</v>
      </c>
      <c r="M3" s="5" t="s">
        <v>13</v>
      </c>
      <c r="N3" s="5" t="s">
        <v>718</v>
      </c>
      <c r="O3" s="5" t="s">
        <v>719</v>
      </c>
      <c r="P3" s="5" t="s">
        <v>720</v>
      </c>
      <c r="Q3" s="5" t="s">
        <v>721</v>
      </c>
      <c r="R3" s="5" t="s">
        <v>76</v>
      </c>
      <c r="S3" s="5" t="s">
        <v>77</v>
      </c>
      <c r="T3" s="5" t="s">
        <v>79</v>
      </c>
      <c r="U3" s="5" t="s">
        <v>78</v>
      </c>
      <c r="V3" s="5" t="s">
        <v>17</v>
      </c>
      <c r="W3" s="5" t="s">
        <v>18</v>
      </c>
    </row>
    <row r="4" spans="1:23">
      <c r="A4" s="9" t="e">
        <f ca="1">RT_DaneDoWsk234_WstawTabele("budzet,numer,nazwajst,kodgus,gt,mswia,lp,symbol,formula,wyszczegolnienie,wsk243,rokwzgl,rokprognozy,WykN_7,WykN_6,WykN_5,WykN_4,WykN_3,WykN_2,PLN_1,wykn_1,pl_datapodjecia,pl_datawejscia")</f>
        <v>#NAME?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7"/>
      <c r="N4" s="7"/>
      <c r="O4" s="7"/>
      <c r="P4" s="7"/>
      <c r="Q4" s="7"/>
      <c r="R4" s="8"/>
      <c r="S4" s="8"/>
      <c r="T4" s="8"/>
      <c r="U4" s="8"/>
      <c r="V4" s="12"/>
      <c r="W4" s="12"/>
    </row>
  </sheetData>
  <autoFilter ref="A3:W4" xr:uid="{00000000-0009-0000-0000-000002000000}"/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honeticPr fontId="60" type="noConversion"/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tabColor rgb="FFFFFF00"/>
  </sheetPr>
  <dimension ref="B1:D17"/>
  <sheetViews>
    <sheetView zoomScaleNormal="100" workbookViewId="0">
      <pane ySplit="3" topLeftCell="A4" activePane="bottomLeft" state="frozen"/>
      <selection pane="bottomLeft"/>
    </sheetView>
  </sheetViews>
  <sheetFormatPr defaultRowHeight="16.5"/>
  <cols>
    <col min="1" max="1" width="4" customWidth="1"/>
    <col min="2" max="2" width="81.25" style="275" customWidth="1"/>
    <col min="3" max="3" width="1.75" customWidth="1"/>
    <col min="4" max="4" width="81.25" customWidth="1"/>
  </cols>
  <sheetData>
    <row r="1" spans="2:4" s="246" customFormat="1" ht="14.25">
      <c r="B1" s="535" t="s">
        <v>693</v>
      </c>
    </row>
    <row r="2" spans="2:4" ht="15.75">
      <c r="B2" s="547" t="str">
        <f>+"Instrukcja korzystania z raportu 'Analiza WPF/Symulacja ("&amp;ver_raportu&amp;")'"</f>
        <v>Instrukcja korzystania z raportu 'Analiza WPF/Symulacja (2021-12-07a)'</v>
      </c>
      <c r="C2" s="547"/>
      <c r="D2" s="547"/>
    </row>
    <row r="3" spans="2:4" s="546" customFormat="1" ht="15">
      <c r="B3" s="537" t="s">
        <v>745</v>
      </c>
      <c r="C3" s="536"/>
      <c r="D3" s="537" t="s">
        <v>744</v>
      </c>
    </row>
    <row r="4" spans="2:4" s="246" customFormat="1" ht="115.5">
      <c r="B4" s="544" t="s">
        <v>731</v>
      </c>
      <c r="C4" s="543"/>
      <c r="D4" s="542" t="s">
        <v>742</v>
      </c>
    </row>
    <row r="5" spans="2:4" ht="115.5">
      <c r="B5" s="544" t="s">
        <v>732</v>
      </c>
      <c r="C5" s="543"/>
      <c r="D5" s="545" t="s">
        <v>743</v>
      </c>
    </row>
    <row r="6" spans="2:4" s="246" customFormat="1" ht="49.5">
      <c r="B6" s="534" t="s">
        <v>733</v>
      </c>
      <c r="C6" s="543"/>
      <c r="D6" s="542" t="s">
        <v>735</v>
      </c>
    </row>
    <row r="7" spans="2:4" s="246" customFormat="1" ht="165">
      <c r="B7" s="541" t="s">
        <v>737</v>
      </c>
      <c r="C7" s="543"/>
      <c r="D7" s="533" t="s">
        <v>734</v>
      </c>
    </row>
    <row r="8" spans="2:4" ht="66">
      <c r="B8" s="542" t="s">
        <v>738</v>
      </c>
      <c r="C8" s="543"/>
    </row>
    <row r="9" spans="2:4" ht="82.5">
      <c r="B9" s="542" t="s">
        <v>736</v>
      </c>
      <c r="C9" s="543"/>
    </row>
    <row r="10" spans="2:4" s="246" customFormat="1" ht="14.25"/>
    <row r="11" spans="2:4" s="246" customFormat="1" ht="14.25"/>
    <row r="15" spans="2:4" s="246" customFormat="1" ht="14.25"/>
    <row r="16" spans="2:4" s="246" customFormat="1">
      <c r="B16" s="275"/>
    </row>
    <row r="17" spans="2:2" s="246" customFormat="1">
      <c r="B17" s="275"/>
    </row>
  </sheetData>
  <mergeCells count="1"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7">
    <tabColor rgb="FF00B050"/>
    <outlinePr summaryBelow="0"/>
    <pageSetUpPr fitToPage="1"/>
  </sheetPr>
  <dimension ref="A1:BB291"/>
  <sheetViews>
    <sheetView zoomScale="80" zoomScaleNormal="80" zoomScaleSheetLayoutView="70" workbookViewId="0">
      <pane xSplit="5" ySplit="9" topLeftCell="N403" activePane="bottomRight" state="frozen"/>
      <selection activeCell="H31" sqref="H31"/>
      <selection pane="topRight" activeCell="H31" sqref="H31"/>
      <selection pane="bottomLeft" activeCell="H31" sqref="H31"/>
      <selection pane="bottomRight" activeCell="O311" sqref="O311"/>
    </sheetView>
  </sheetViews>
  <sheetFormatPr defaultRowHeight="14.25" outlineLevelRow="5" outlineLevelCol="2"/>
  <cols>
    <col min="1" max="1" width="4.25" style="49" hidden="1" customWidth="1" outlineLevel="1"/>
    <col min="2" max="2" width="4.25" style="236" hidden="1" customWidth="1" outlineLevel="1"/>
    <col min="3" max="3" width="6.625" style="1" customWidth="1" collapsed="1"/>
    <col min="4" max="4" width="30.25" style="62" hidden="1" customWidth="1" outlineLevel="1"/>
    <col min="5" max="5" width="70.625" style="1" customWidth="1" collapsed="1"/>
    <col min="6" max="9" width="14" style="1" hidden="1" customWidth="1" outlineLevel="2"/>
    <col min="10" max="13" width="14" style="1" hidden="1" customWidth="1" outlineLevel="1"/>
    <col min="14" max="14" width="14" style="1" customWidth="1" collapsed="1"/>
    <col min="15" max="17" width="14" style="1" customWidth="1"/>
    <col min="18" max="25" width="14" style="1" customWidth="1" outlineLevel="1"/>
    <col min="26" max="53" width="14" style="1" hidden="1" customWidth="1" outlineLevel="1"/>
  </cols>
  <sheetData>
    <row r="1" spans="1:54" s="246" customFormat="1" ht="15">
      <c r="A1" s="244"/>
      <c r="B1" s="244"/>
      <c r="C1" s="464" t="str">
        <f>"Zestawienie z WPF: "&amp;WPF_bazowy!E5&amp;" - "&amp;"WPF za lata "&amp;WPF_bazowy!E6&amp;" - Nr Uchwały JST: "&amp;WPF_bazowy!E4&amp;" [ver: "&amp;WPF_bazowy!E7&amp;"]"&amp;IF(Srednia=0," /średnia 3-letnia/"," /średnia 7-letnia/")</f>
        <v>Zestawienie z WPF: średzki - WPF za lata 2022 - 2033 - Nr Uchwały JST: 20220216_zmianaWPF_v2 [ver: 0] /średnia 7-letnia/</v>
      </c>
      <c r="D1" s="34"/>
      <c r="E1" s="30"/>
      <c r="F1" s="30"/>
      <c r="G1" s="30"/>
      <c r="H1" s="30"/>
      <c r="I1" s="30"/>
      <c r="J1" s="29"/>
      <c r="K1" s="29"/>
      <c r="L1" s="29"/>
      <c r="M1" s="29"/>
      <c r="N1" s="464" t="s">
        <v>660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s="246" customFormat="1" ht="15.75">
      <c r="A2" s="244"/>
      <c r="B2" s="244"/>
      <c r="C2" s="464" t="s">
        <v>167</v>
      </c>
      <c r="D2" s="465"/>
      <c r="E2" s="35"/>
      <c r="F2" s="35"/>
      <c r="G2" s="35"/>
      <c r="H2" s="35"/>
      <c r="I2" s="35"/>
      <c r="J2" s="29"/>
      <c r="K2" s="29"/>
      <c r="L2" s="29"/>
      <c r="M2" s="29"/>
      <c r="N2" s="464" t="s">
        <v>711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s="246" customFormat="1" ht="15" outlineLevel="1">
      <c r="A3" s="244"/>
      <c r="B3" s="244"/>
      <c r="C3" s="466" t="s">
        <v>661</v>
      </c>
      <c r="D3" s="30"/>
      <c r="E3" s="30"/>
      <c r="F3" s="30"/>
      <c r="G3" s="540" t="s">
        <v>739</v>
      </c>
      <c r="H3" s="539"/>
      <c r="I3" s="539"/>
      <c r="J3" s="538"/>
      <c r="K3" s="29"/>
      <c r="L3" s="29"/>
      <c r="M3" s="29"/>
      <c r="N3" s="36" t="s">
        <v>746</v>
      </c>
      <c r="O3" s="467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s="246" customFormat="1" ht="15" outlineLevel="1">
      <c r="A4" s="244"/>
      <c r="B4" s="244"/>
      <c r="C4" s="59" t="s">
        <v>159</v>
      </c>
      <c r="D4" s="29"/>
      <c r="E4" s="32" t="str">
        <f>DaneZrodlowe!B8</f>
        <v>20220216_zmianaWPF_v2</v>
      </c>
      <c r="F4" s="29"/>
      <c r="G4" s="540" t="s">
        <v>740</v>
      </c>
      <c r="H4" s="538"/>
      <c r="I4" s="538"/>
      <c r="J4" s="538"/>
      <c r="K4" s="29"/>
      <c r="L4" s="29"/>
      <c r="M4" s="29"/>
      <c r="N4" s="301" t="str">
        <f>+DaneZrodlowe!$O$3</f>
        <v>poz. 8.3/8.3.1 wg wybranego typu średniej</v>
      </c>
      <c r="O4" s="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s="246" customFormat="1" outlineLevel="1">
      <c r="A5" s="244"/>
      <c r="B5" s="244"/>
      <c r="C5" s="60" t="s">
        <v>15</v>
      </c>
      <c r="D5" s="1"/>
      <c r="E5" s="26" t="str">
        <f>DaneZrodlowe!C8</f>
        <v>średzki</v>
      </c>
      <c r="F5" s="29"/>
      <c r="G5" s="29"/>
      <c r="H5" s="29"/>
      <c r="I5" s="29"/>
      <c r="J5" s="29"/>
      <c r="K5" s="33"/>
      <c r="L5" s="37"/>
      <c r="M5" s="29"/>
      <c r="N5" s="301" t="str">
        <f>+DaneZrodlowe!$O$4</f>
        <v>DU 2020.1381/2021.1927</v>
      </c>
      <c r="O5" s="1"/>
      <c r="P5" s="29"/>
      <c r="Q5" s="29"/>
      <c r="R5" s="29"/>
      <c r="S5" s="36"/>
      <c r="T5" s="36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s="246" customFormat="1" outlineLevel="1">
      <c r="A6" s="244"/>
      <c r="B6" s="244"/>
      <c r="C6" s="60" t="s">
        <v>16</v>
      </c>
      <c r="D6" s="1"/>
      <c r="E6" s="468" t="str">
        <f>CONCATENATE(RokBazowy," - ",RokMaxProg)</f>
        <v>2022 - 2033</v>
      </c>
      <c r="F6" s="1"/>
      <c r="G6" s="1"/>
      <c r="H6" s="1"/>
      <c r="I6" s="1"/>
      <c r="J6" s="1"/>
      <c r="K6" s="1"/>
      <c r="L6" s="1"/>
      <c r="M6" s="1"/>
      <c r="N6" s="1"/>
      <c r="O6" s="1"/>
      <c r="P6" s="29"/>
      <c r="Q6" s="28"/>
      <c r="R6" s="29"/>
      <c r="S6" s="36"/>
      <c r="T6" s="36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s="246" customFormat="1" outlineLevel="1">
      <c r="A7" s="244"/>
      <c r="B7" s="244"/>
      <c r="C7" s="63" t="s">
        <v>181</v>
      </c>
      <c r="D7" s="1"/>
      <c r="E7" s="64">
        <f>+DaneZrodlowe!Q8</f>
        <v>0</v>
      </c>
      <c r="F7" s="64"/>
      <c r="G7" s="64"/>
      <c r="H7" s="64"/>
      <c r="I7" s="64"/>
      <c r="J7" s="549" t="s">
        <v>177</v>
      </c>
      <c r="K7" s="549"/>
      <c r="L7" s="549"/>
      <c r="M7" s="549"/>
      <c r="N7" s="1"/>
      <c r="O7" s="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ht="15.75">
      <c r="C8" s="29"/>
      <c r="D8" s="61"/>
      <c r="E8" s="492" t="str">
        <f>+C1</f>
        <v>Zestawienie z WPF: średzki - WPF za lata 2022 - 2033 - Nr Uchwały JST: 20220216_zmianaWPF_v2 [ver: 0] /średnia 7-letnia/</v>
      </c>
      <c r="F8" s="492"/>
      <c r="G8" s="492"/>
      <c r="H8" s="492"/>
      <c r="I8" s="492"/>
      <c r="J8" s="548" t="s">
        <v>161</v>
      </c>
      <c r="K8" s="548"/>
      <c r="L8" s="40" t="s">
        <v>160</v>
      </c>
      <c r="M8" s="40" t="s">
        <v>161</v>
      </c>
      <c r="N8" s="42"/>
      <c r="O8" s="39"/>
      <c r="P8" s="39"/>
      <c r="Q8" s="39"/>
      <c r="R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0"/>
    </row>
    <row r="9" spans="1:54">
      <c r="A9" s="50" t="s">
        <v>165</v>
      </c>
      <c r="B9" s="237" t="s">
        <v>529</v>
      </c>
      <c r="C9" s="92" t="s">
        <v>0</v>
      </c>
      <c r="D9" s="93" t="s">
        <v>171</v>
      </c>
      <c r="E9" s="107" t="s">
        <v>1</v>
      </c>
      <c r="F9" s="101">
        <f t="shared" ref="F9:K9" si="0">+G9-1</f>
        <v>2015</v>
      </c>
      <c r="G9" s="101">
        <f t="shared" si="0"/>
        <v>2016</v>
      </c>
      <c r="H9" s="101">
        <f t="shared" si="0"/>
        <v>2017</v>
      </c>
      <c r="I9" s="101">
        <f t="shared" si="0"/>
        <v>2018</v>
      </c>
      <c r="J9" s="101">
        <f t="shared" si="0"/>
        <v>2019</v>
      </c>
      <c r="K9" s="94">
        <f t="shared" si="0"/>
        <v>2020</v>
      </c>
      <c r="L9" s="94">
        <f>+M9</f>
        <v>2021</v>
      </c>
      <c r="M9" s="115">
        <f>+N9-1</f>
        <v>2021</v>
      </c>
      <c r="N9" s="113">
        <f>+DaneZrodlowe!$N$1</f>
        <v>2022</v>
      </c>
      <c r="O9" s="95">
        <f>+N9+1</f>
        <v>2023</v>
      </c>
      <c r="P9" s="95">
        <f t="shared" ref="P9:AO9" si="1">+O9+1</f>
        <v>2024</v>
      </c>
      <c r="Q9" s="95">
        <f t="shared" si="1"/>
        <v>2025</v>
      </c>
      <c r="R9" s="95">
        <f t="shared" si="1"/>
        <v>2026</v>
      </c>
      <c r="S9" s="95">
        <f t="shared" si="1"/>
        <v>2027</v>
      </c>
      <c r="T9" s="95">
        <f t="shared" si="1"/>
        <v>2028</v>
      </c>
      <c r="U9" s="95">
        <f t="shared" si="1"/>
        <v>2029</v>
      </c>
      <c r="V9" s="95">
        <f t="shared" si="1"/>
        <v>2030</v>
      </c>
      <c r="W9" s="95">
        <f t="shared" si="1"/>
        <v>2031</v>
      </c>
      <c r="X9" s="95">
        <f t="shared" si="1"/>
        <v>2032</v>
      </c>
      <c r="Y9" s="95">
        <f t="shared" si="1"/>
        <v>2033</v>
      </c>
      <c r="Z9" s="95">
        <f t="shared" si="1"/>
        <v>2034</v>
      </c>
      <c r="AA9" s="95">
        <f t="shared" si="1"/>
        <v>2035</v>
      </c>
      <c r="AB9" s="95">
        <f t="shared" si="1"/>
        <v>2036</v>
      </c>
      <c r="AC9" s="95">
        <f t="shared" si="1"/>
        <v>2037</v>
      </c>
      <c r="AD9" s="95">
        <f t="shared" si="1"/>
        <v>2038</v>
      </c>
      <c r="AE9" s="95">
        <f t="shared" si="1"/>
        <v>2039</v>
      </c>
      <c r="AF9" s="95">
        <f t="shared" si="1"/>
        <v>2040</v>
      </c>
      <c r="AG9" s="95">
        <f t="shared" si="1"/>
        <v>2041</v>
      </c>
      <c r="AH9" s="95">
        <f t="shared" si="1"/>
        <v>2042</v>
      </c>
      <c r="AI9" s="95">
        <f t="shared" si="1"/>
        <v>2043</v>
      </c>
      <c r="AJ9" s="95">
        <f t="shared" si="1"/>
        <v>2044</v>
      </c>
      <c r="AK9" s="95">
        <f t="shared" si="1"/>
        <v>2045</v>
      </c>
      <c r="AL9" s="95">
        <f t="shared" si="1"/>
        <v>2046</v>
      </c>
      <c r="AM9" s="95">
        <f t="shared" si="1"/>
        <v>2047</v>
      </c>
      <c r="AN9" s="95">
        <f t="shared" si="1"/>
        <v>2048</v>
      </c>
      <c r="AO9" s="95">
        <f t="shared" si="1"/>
        <v>2049</v>
      </c>
      <c r="AP9" s="95">
        <f t="shared" ref="AP9:BA9" si="2">+AO9+1</f>
        <v>2050</v>
      </c>
      <c r="AQ9" s="95">
        <f t="shared" si="2"/>
        <v>2051</v>
      </c>
      <c r="AR9" s="95">
        <f t="shared" si="2"/>
        <v>2052</v>
      </c>
      <c r="AS9" s="95">
        <f t="shared" si="2"/>
        <v>2053</v>
      </c>
      <c r="AT9" s="95">
        <f t="shared" si="2"/>
        <v>2054</v>
      </c>
      <c r="AU9" s="95">
        <f t="shared" si="2"/>
        <v>2055</v>
      </c>
      <c r="AV9" s="95">
        <f t="shared" si="2"/>
        <v>2056</v>
      </c>
      <c r="AW9" s="95">
        <f t="shared" si="2"/>
        <v>2057</v>
      </c>
      <c r="AX9" s="95">
        <f t="shared" si="2"/>
        <v>2058</v>
      </c>
      <c r="AY9" s="95">
        <f t="shared" si="2"/>
        <v>2059</v>
      </c>
      <c r="AZ9" s="95">
        <f t="shared" si="2"/>
        <v>2060</v>
      </c>
      <c r="BA9" s="96">
        <f t="shared" si="2"/>
        <v>2061</v>
      </c>
      <c r="BB9" s="20"/>
    </row>
    <row r="10" spans="1:54" ht="15">
      <c r="A10" s="244" t="s">
        <v>27</v>
      </c>
      <c r="B10" s="244" t="s">
        <v>27</v>
      </c>
      <c r="C10" s="97">
        <v>1</v>
      </c>
      <c r="D10" s="88"/>
      <c r="E10" s="108" t="s">
        <v>23</v>
      </c>
      <c r="F10" s="102">
        <f>37654560.88</f>
        <v>37654560.880000003</v>
      </c>
      <c r="G10" s="102">
        <f>42577701.22</f>
        <v>42577701.219999999</v>
      </c>
      <c r="H10" s="102">
        <f>42272095.82</f>
        <v>42272095.82</v>
      </c>
      <c r="I10" s="102">
        <f>49704674.33</f>
        <v>49704674.329999998</v>
      </c>
      <c r="J10" s="102">
        <f>58761132.34</f>
        <v>58761132.340000004</v>
      </c>
      <c r="K10" s="89">
        <f>62485802.08</f>
        <v>62485802.079999998</v>
      </c>
      <c r="L10" s="89">
        <f>55356292.65</f>
        <v>55356292.649999999</v>
      </c>
      <c r="M10" s="116">
        <f>67688312.06</f>
        <v>67688312.060000002</v>
      </c>
      <c r="N10" s="114">
        <f>60726395</f>
        <v>60726395</v>
      </c>
      <c r="O10" s="90">
        <f>73658346</f>
        <v>73658346</v>
      </c>
      <c r="P10" s="90">
        <f>53707637</f>
        <v>53707637</v>
      </c>
      <c r="Q10" s="90">
        <f>55569905</f>
        <v>55569905</v>
      </c>
      <c r="R10" s="90">
        <f>57497351</f>
        <v>57497351</v>
      </c>
      <c r="S10" s="90">
        <f>59435260</f>
        <v>59435260</v>
      </c>
      <c r="T10" s="90">
        <f>61380124</f>
        <v>61380124</v>
      </c>
      <c r="U10" s="90">
        <f>63267408</f>
        <v>63267408</v>
      </c>
      <c r="V10" s="90">
        <f>65087663</f>
        <v>65087663</v>
      </c>
      <c r="W10" s="90">
        <f>66896118</f>
        <v>66896118</v>
      </c>
      <c r="X10" s="90">
        <f>68188813</f>
        <v>68188813</v>
      </c>
      <c r="Y10" s="90">
        <f>69961722</f>
        <v>69961722</v>
      </c>
      <c r="Z10" s="90">
        <f>0</f>
        <v>0</v>
      </c>
      <c r="AA10" s="90">
        <f>0</f>
        <v>0</v>
      </c>
      <c r="AB10" s="90">
        <f>0</f>
        <v>0</v>
      </c>
      <c r="AC10" s="90">
        <f>0</f>
        <v>0</v>
      </c>
      <c r="AD10" s="90">
        <f>0</f>
        <v>0</v>
      </c>
      <c r="AE10" s="90">
        <f>0</f>
        <v>0</v>
      </c>
      <c r="AF10" s="90">
        <f>0</f>
        <v>0</v>
      </c>
      <c r="AG10" s="90">
        <f>0</f>
        <v>0</v>
      </c>
      <c r="AH10" s="90">
        <f>0</f>
        <v>0</v>
      </c>
      <c r="AI10" s="90">
        <f>0</f>
        <v>0</v>
      </c>
      <c r="AJ10" s="90">
        <f>0</f>
        <v>0</v>
      </c>
      <c r="AK10" s="90">
        <f>0</f>
        <v>0</v>
      </c>
      <c r="AL10" s="90">
        <f>0</f>
        <v>0</v>
      </c>
      <c r="AM10" s="90">
        <f>0</f>
        <v>0</v>
      </c>
      <c r="AN10" s="90">
        <f>0</f>
        <v>0</v>
      </c>
      <c r="AO10" s="90">
        <f>0</f>
        <v>0</v>
      </c>
      <c r="AP10" s="90">
        <f>0</f>
        <v>0</v>
      </c>
      <c r="AQ10" s="90">
        <f>0</f>
        <v>0</v>
      </c>
      <c r="AR10" s="90">
        <f>0</f>
        <v>0</v>
      </c>
      <c r="AS10" s="90">
        <f>0</f>
        <v>0</v>
      </c>
      <c r="AT10" s="90">
        <f>0</f>
        <v>0</v>
      </c>
      <c r="AU10" s="90">
        <f>0</f>
        <v>0</v>
      </c>
      <c r="AV10" s="90">
        <f>0</f>
        <v>0</v>
      </c>
      <c r="AW10" s="90">
        <f>0</f>
        <v>0</v>
      </c>
      <c r="AX10" s="90">
        <f>0</f>
        <v>0</v>
      </c>
      <c r="AY10" s="90">
        <f>0</f>
        <v>0</v>
      </c>
      <c r="AZ10" s="90">
        <f>0</f>
        <v>0</v>
      </c>
      <c r="BA10" s="91">
        <f>0</f>
        <v>0</v>
      </c>
      <c r="BB10" s="21"/>
    </row>
    <row r="11" spans="1:54" outlineLevel="1">
      <c r="A11" s="244" t="s">
        <v>27</v>
      </c>
      <c r="B11" s="244" t="s">
        <v>27</v>
      </c>
      <c r="C11" s="65" t="s">
        <v>51</v>
      </c>
      <c r="D11" s="86" t="s">
        <v>357</v>
      </c>
      <c r="E11" s="447" t="s">
        <v>313</v>
      </c>
      <c r="F11" s="103">
        <f>33984961.73</f>
        <v>33984961.729999997</v>
      </c>
      <c r="G11" s="103">
        <f>36520043.2</f>
        <v>36520043.200000003</v>
      </c>
      <c r="H11" s="103">
        <f>38046848.75</f>
        <v>38046848.75</v>
      </c>
      <c r="I11" s="103">
        <f>40475097.8</f>
        <v>40475097.799999997</v>
      </c>
      <c r="J11" s="103">
        <f>45325239.01</f>
        <v>45325239.009999998</v>
      </c>
      <c r="K11" s="68">
        <f>47884637.42</f>
        <v>47884637.420000002</v>
      </c>
      <c r="L11" s="68">
        <f>49756342.65</f>
        <v>49756342.649999999</v>
      </c>
      <c r="M11" s="69">
        <f>56377305</f>
        <v>56377305</v>
      </c>
      <c r="N11" s="70">
        <f>49912310</f>
        <v>49912310</v>
      </c>
      <c r="O11" s="71">
        <f>51408346</f>
        <v>51408346</v>
      </c>
      <c r="P11" s="71">
        <f>53207637</f>
        <v>53207637</v>
      </c>
      <c r="Q11" s="71">
        <f>55069905</f>
        <v>55069905</v>
      </c>
      <c r="R11" s="71">
        <f>56997351</f>
        <v>56997351</v>
      </c>
      <c r="S11" s="71">
        <f>58935260</f>
        <v>58935260</v>
      </c>
      <c r="T11" s="71">
        <f>60880124</f>
        <v>60880124</v>
      </c>
      <c r="U11" s="71">
        <f>62767408</f>
        <v>62767408</v>
      </c>
      <c r="V11" s="71">
        <f>64587663</f>
        <v>64587663</v>
      </c>
      <c r="W11" s="71">
        <f>66396118</f>
        <v>66396118</v>
      </c>
      <c r="X11" s="71">
        <f>68188813</f>
        <v>68188813</v>
      </c>
      <c r="Y11" s="71">
        <f>69961722</f>
        <v>69961722</v>
      </c>
      <c r="Z11" s="71">
        <f>0</f>
        <v>0</v>
      </c>
      <c r="AA11" s="71">
        <f>0</f>
        <v>0</v>
      </c>
      <c r="AB11" s="71">
        <f>0</f>
        <v>0</v>
      </c>
      <c r="AC11" s="71">
        <f>0</f>
        <v>0</v>
      </c>
      <c r="AD11" s="71">
        <f>0</f>
        <v>0</v>
      </c>
      <c r="AE11" s="71">
        <f>0</f>
        <v>0</v>
      </c>
      <c r="AF11" s="71">
        <f>0</f>
        <v>0</v>
      </c>
      <c r="AG11" s="71">
        <f>0</f>
        <v>0</v>
      </c>
      <c r="AH11" s="71">
        <f>0</f>
        <v>0</v>
      </c>
      <c r="AI11" s="71">
        <f>0</f>
        <v>0</v>
      </c>
      <c r="AJ11" s="71">
        <f>0</f>
        <v>0</v>
      </c>
      <c r="AK11" s="71">
        <f>0</f>
        <v>0</v>
      </c>
      <c r="AL11" s="71">
        <f>0</f>
        <v>0</v>
      </c>
      <c r="AM11" s="71">
        <f>0</f>
        <v>0</v>
      </c>
      <c r="AN11" s="71">
        <f>0</f>
        <v>0</v>
      </c>
      <c r="AO11" s="71">
        <f>0</f>
        <v>0</v>
      </c>
      <c r="AP11" s="71">
        <f>0</f>
        <v>0</v>
      </c>
      <c r="AQ11" s="71">
        <f>0</f>
        <v>0</v>
      </c>
      <c r="AR11" s="71">
        <f>0</f>
        <v>0</v>
      </c>
      <c r="AS11" s="71">
        <f>0</f>
        <v>0</v>
      </c>
      <c r="AT11" s="71">
        <f>0</f>
        <v>0</v>
      </c>
      <c r="AU11" s="71">
        <f>0</f>
        <v>0</v>
      </c>
      <c r="AV11" s="71">
        <f>0</f>
        <v>0</v>
      </c>
      <c r="AW11" s="71">
        <f>0</f>
        <v>0</v>
      </c>
      <c r="AX11" s="71">
        <f>0</f>
        <v>0</v>
      </c>
      <c r="AY11" s="71">
        <f>0</f>
        <v>0</v>
      </c>
      <c r="AZ11" s="71">
        <f>0</f>
        <v>0</v>
      </c>
      <c r="BA11" s="72">
        <f>0</f>
        <v>0</v>
      </c>
    </row>
    <row r="12" spans="1:54" outlineLevel="2">
      <c r="A12" s="244"/>
      <c r="B12" s="244"/>
      <c r="C12" s="65" t="s">
        <v>32</v>
      </c>
      <c r="D12" s="85" t="s">
        <v>639</v>
      </c>
      <c r="E12" s="109" t="s">
        <v>80</v>
      </c>
      <c r="F12" s="103">
        <f>9152882</f>
        <v>9152882</v>
      </c>
      <c r="G12" s="103">
        <f>10783358</f>
        <v>10783358</v>
      </c>
      <c r="H12" s="103">
        <f>11360813</f>
        <v>11360813</v>
      </c>
      <c r="I12" s="103">
        <f>13305001</f>
        <v>13305001</v>
      </c>
      <c r="J12" s="103">
        <f>15580695</f>
        <v>15580695</v>
      </c>
      <c r="K12" s="68">
        <f>15265056</f>
        <v>15265056</v>
      </c>
      <c r="L12" s="68">
        <f>15966862</f>
        <v>15966862</v>
      </c>
      <c r="M12" s="69">
        <f>17283048</f>
        <v>17283048</v>
      </c>
      <c r="N12" s="70">
        <f>15128514</f>
        <v>15128514</v>
      </c>
      <c r="O12" s="71">
        <f>15688269</f>
        <v>15688269</v>
      </c>
      <c r="P12" s="71">
        <f>16237358</f>
        <v>16237358</v>
      </c>
      <c r="Q12" s="71">
        <f>16805666</f>
        <v>16805666</v>
      </c>
      <c r="R12" s="71">
        <f>17393864</f>
        <v>17393864</v>
      </c>
      <c r="S12" s="71">
        <f>17985255</f>
        <v>17985255</v>
      </c>
      <c r="T12" s="71">
        <f>18578768</f>
        <v>18578768</v>
      </c>
      <c r="U12" s="71">
        <f>19154710</f>
        <v>19154710</v>
      </c>
      <c r="V12" s="71">
        <f>19710197</f>
        <v>19710197</v>
      </c>
      <c r="W12" s="71">
        <f>20262083</f>
        <v>20262083</v>
      </c>
      <c r="X12" s="71">
        <f>20809159</f>
        <v>20809159</v>
      </c>
      <c r="Y12" s="71">
        <f>21350197</f>
        <v>21350197</v>
      </c>
      <c r="Z12" s="71">
        <f>0</f>
        <v>0</v>
      </c>
      <c r="AA12" s="71">
        <f>0</f>
        <v>0</v>
      </c>
      <c r="AB12" s="71">
        <f>0</f>
        <v>0</v>
      </c>
      <c r="AC12" s="71">
        <f>0</f>
        <v>0</v>
      </c>
      <c r="AD12" s="71">
        <f>0</f>
        <v>0</v>
      </c>
      <c r="AE12" s="71">
        <f>0</f>
        <v>0</v>
      </c>
      <c r="AF12" s="71">
        <f>0</f>
        <v>0</v>
      </c>
      <c r="AG12" s="71">
        <f>0</f>
        <v>0</v>
      </c>
      <c r="AH12" s="71">
        <f>0</f>
        <v>0</v>
      </c>
      <c r="AI12" s="71">
        <f>0</f>
        <v>0</v>
      </c>
      <c r="AJ12" s="71">
        <f>0</f>
        <v>0</v>
      </c>
      <c r="AK12" s="71">
        <f>0</f>
        <v>0</v>
      </c>
      <c r="AL12" s="71">
        <f>0</f>
        <v>0</v>
      </c>
      <c r="AM12" s="71">
        <f>0</f>
        <v>0</v>
      </c>
      <c r="AN12" s="71">
        <f>0</f>
        <v>0</v>
      </c>
      <c r="AO12" s="71">
        <f>0</f>
        <v>0</v>
      </c>
      <c r="AP12" s="71">
        <f>0</f>
        <v>0</v>
      </c>
      <c r="AQ12" s="71">
        <f>0</f>
        <v>0</v>
      </c>
      <c r="AR12" s="71">
        <f>0</f>
        <v>0</v>
      </c>
      <c r="AS12" s="71">
        <f>0</f>
        <v>0</v>
      </c>
      <c r="AT12" s="71">
        <f>0</f>
        <v>0</v>
      </c>
      <c r="AU12" s="71">
        <f>0</f>
        <v>0</v>
      </c>
      <c r="AV12" s="71">
        <f>0</f>
        <v>0</v>
      </c>
      <c r="AW12" s="71">
        <f>0</f>
        <v>0</v>
      </c>
      <c r="AX12" s="71">
        <f>0</f>
        <v>0</v>
      </c>
      <c r="AY12" s="71">
        <f>0</f>
        <v>0</v>
      </c>
      <c r="AZ12" s="71">
        <f>0</f>
        <v>0</v>
      </c>
      <c r="BA12" s="72">
        <f>0</f>
        <v>0</v>
      </c>
    </row>
    <row r="13" spans="1:54" outlineLevel="2">
      <c r="A13" s="244"/>
      <c r="B13" s="244"/>
      <c r="C13" s="65" t="s">
        <v>33</v>
      </c>
      <c r="D13" s="85" t="s">
        <v>640</v>
      </c>
      <c r="E13" s="109" t="s">
        <v>81</v>
      </c>
      <c r="F13" s="103">
        <f>782013.97</f>
        <v>782013.97</v>
      </c>
      <c r="G13" s="103">
        <f>899040.43</f>
        <v>899040.43</v>
      </c>
      <c r="H13" s="103">
        <f>904864.39</f>
        <v>904864.39</v>
      </c>
      <c r="I13" s="103">
        <f>850781.59</f>
        <v>850781.59</v>
      </c>
      <c r="J13" s="103">
        <f>938919.07</f>
        <v>938919.07</v>
      </c>
      <c r="K13" s="68">
        <f>1006229.91</f>
        <v>1006229.91</v>
      </c>
      <c r="L13" s="68">
        <f>750000</f>
        <v>750000</v>
      </c>
      <c r="M13" s="69">
        <f>1503525.46</f>
        <v>1503525.46</v>
      </c>
      <c r="N13" s="70">
        <f>1199155</f>
        <v>1199155</v>
      </c>
      <c r="O13" s="71">
        <f>1243524</f>
        <v>1243524</v>
      </c>
      <c r="P13" s="71">
        <f>1287047</f>
        <v>1287047</v>
      </c>
      <c r="Q13" s="71">
        <f>1332094</f>
        <v>1332094</v>
      </c>
      <c r="R13" s="71">
        <f>1378717</f>
        <v>1378717</v>
      </c>
      <c r="S13" s="71">
        <f>1425593</f>
        <v>1425593</v>
      </c>
      <c r="T13" s="71">
        <f>1472638</f>
        <v>1472638</v>
      </c>
      <c r="U13" s="71">
        <f>1518290</f>
        <v>1518290</v>
      </c>
      <c r="V13" s="71">
        <f>1562320</f>
        <v>1562320</v>
      </c>
      <c r="W13" s="71">
        <f>1606065</f>
        <v>1606065</v>
      </c>
      <c r="X13" s="71">
        <f>1649429</f>
        <v>1649429</v>
      </c>
      <c r="Y13" s="71">
        <f>1692314</f>
        <v>1692314</v>
      </c>
      <c r="Z13" s="71">
        <f>0</f>
        <v>0</v>
      </c>
      <c r="AA13" s="71">
        <f>0</f>
        <v>0</v>
      </c>
      <c r="AB13" s="71">
        <f>0</f>
        <v>0</v>
      </c>
      <c r="AC13" s="71">
        <f>0</f>
        <v>0</v>
      </c>
      <c r="AD13" s="71">
        <f>0</f>
        <v>0</v>
      </c>
      <c r="AE13" s="71">
        <f>0</f>
        <v>0</v>
      </c>
      <c r="AF13" s="71">
        <f>0</f>
        <v>0</v>
      </c>
      <c r="AG13" s="71">
        <f>0</f>
        <v>0</v>
      </c>
      <c r="AH13" s="71">
        <f>0</f>
        <v>0</v>
      </c>
      <c r="AI13" s="71">
        <f>0</f>
        <v>0</v>
      </c>
      <c r="AJ13" s="71">
        <f>0</f>
        <v>0</v>
      </c>
      <c r="AK13" s="71">
        <f>0</f>
        <v>0</v>
      </c>
      <c r="AL13" s="71">
        <f>0</f>
        <v>0</v>
      </c>
      <c r="AM13" s="71">
        <f>0</f>
        <v>0</v>
      </c>
      <c r="AN13" s="71">
        <f>0</f>
        <v>0</v>
      </c>
      <c r="AO13" s="71">
        <f>0</f>
        <v>0</v>
      </c>
      <c r="AP13" s="71">
        <f>0</f>
        <v>0</v>
      </c>
      <c r="AQ13" s="71">
        <f>0</f>
        <v>0</v>
      </c>
      <c r="AR13" s="71">
        <f>0</f>
        <v>0</v>
      </c>
      <c r="AS13" s="71">
        <f>0</f>
        <v>0</v>
      </c>
      <c r="AT13" s="71">
        <f>0</f>
        <v>0</v>
      </c>
      <c r="AU13" s="71">
        <f>0</f>
        <v>0</v>
      </c>
      <c r="AV13" s="71">
        <f>0</f>
        <v>0</v>
      </c>
      <c r="AW13" s="71">
        <f>0</f>
        <v>0</v>
      </c>
      <c r="AX13" s="71">
        <f>0</f>
        <v>0</v>
      </c>
      <c r="AY13" s="71">
        <f>0</f>
        <v>0</v>
      </c>
      <c r="AZ13" s="71">
        <f>0</f>
        <v>0</v>
      </c>
      <c r="BA13" s="72">
        <f>0</f>
        <v>0</v>
      </c>
    </row>
    <row r="14" spans="1:54" outlineLevel="2">
      <c r="A14" s="244"/>
      <c r="B14" s="244"/>
      <c r="C14" s="65" t="s">
        <v>34</v>
      </c>
      <c r="D14" s="85" t="s">
        <v>641</v>
      </c>
      <c r="E14" s="109" t="s">
        <v>83</v>
      </c>
      <c r="F14" s="103">
        <f>13019565</f>
        <v>13019565</v>
      </c>
      <c r="G14" s="103">
        <f>12728910</f>
        <v>12728910</v>
      </c>
      <c r="H14" s="103">
        <f>12317096</f>
        <v>12317096</v>
      </c>
      <c r="I14" s="103">
        <f>12520323</f>
        <v>12520323</v>
      </c>
      <c r="J14" s="103">
        <f>13794583</f>
        <v>13794583</v>
      </c>
      <c r="K14" s="68">
        <f>14745448</f>
        <v>14745448</v>
      </c>
      <c r="L14" s="68">
        <f>15304700</f>
        <v>15304700</v>
      </c>
      <c r="M14" s="69">
        <f>17719752</f>
        <v>17719752</v>
      </c>
      <c r="N14" s="70">
        <f>15519285</f>
        <v>15519285</v>
      </c>
      <c r="O14" s="71">
        <f>16093499</f>
        <v>16093499</v>
      </c>
      <c r="P14" s="71">
        <f>16656771</f>
        <v>16656771</v>
      </c>
      <c r="Q14" s="71">
        <f>17239758</f>
        <v>17239758</v>
      </c>
      <c r="R14" s="71">
        <f>17843150</f>
        <v>17843150</v>
      </c>
      <c r="S14" s="71">
        <f>18449817</f>
        <v>18449817</v>
      </c>
      <c r="T14" s="71">
        <f>19058661</f>
        <v>19058661</v>
      </c>
      <c r="U14" s="71">
        <f>19649479</f>
        <v>19649479</v>
      </c>
      <c r="V14" s="71">
        <f>20219314</f>
        <v>20219314</v>
      </c>
      <c r="W14" s="71">
        <f>20785455</f>
        <v>20785455</v>
      </c>
      <c r="X14" s="71">
        <f>21346662</f>
        <v>21346662</v>
      </c>
      <c r="Y14" s="71">
        <f>21901675</f>
        <v>21901675</v>
      </c>
      <c r="Z14" s="71">
        <f>0</f>
        <v>0</v>
      </c>
      <c r="AA14" s="71">
        <f>0</f>
        <v>0</v>
      </c>
      <c r="AB14" s="71">
        <f>0</f>
        <v>0</v>
      </c>
      <c r="AC14" s="71">
        <f>0</f>
        <v>0</v>
      </c>
      <c r="AD14" s="71">
        <f>0</f>
        <v>0</v>
      </c>
      <c r="AE14" s="71">
        <f>0</f>
        <v>0</v>
      </c>
      <c r="AF14" s="71">
        <f>0</f>
        <v>0</v>
      </c>
      <c r="AG14" s="71">
        <f>0</f>
        <v>0</v>
      </c>
      <c r="AH14" s="71">
        <f>0</f>
        <v>0</v>
      </c>
      <c r="AI14" s="71">
        <f>0</f>
        <v>0</v>
      </c>
      <c r="AJ14" s="71">
        <f>0</f>
        <v>0</v>
      </c>
      <c r="AK14" s="71">
        <f>0</f>
        <v>0</v>
      </c>
      <c r="AL14" s="71">
        <f>0</f>
        <v>0</v>
      </c>
      <c r="AM14" s="71">
        <f>0</f>
        <v>0</v>
      </c>
      <c r="AN14" s="71">
        <f>0</f>
        <v>0</v>
      </c>
      <c r="AO14" s="71">
        <f>0</f>
        <v>0</v>
      </c>
      <c r="AP14" s="71">
        <f>0</f>
        <v>0</v>
      </c>
      <c r="AQ14" s="71">
        <f>0</f>
        <v>0</v>
      </c>
      <c r="AR14" s="71">
        <f>0</f>
        <v>0</v>
      </c>
      <c r="AS14" s="71">
        <f>0</f>
        <v>0</v>
      </c>
      <c r="AT14" s="71">
        <f>0</f>
        <v>0</v>
      </c>
      <c r="AU14" s="71">
        <f>0</f>
        <v>0</v>
      </c>
      <c r="AV14" s="71">
        <f>0</f>
        <v>0</v>
      </c>
      <c r="AW14" s="71">
        <f>0</f>
        <v>0</v>
      </c>
      <c r="AX14" s="71">
        <f>0</f>
        <v>0</v>
      </c>
      <c r="AY14" s="71">
        <f>0</f>
        <v>0</v>
      </c>
      <c r="AZ14" s="71">
        <f>0</f>
        <v>0</v>
      </c>
      <c r="BA14" s="72">
        <f>0</f>
        <v>0</v>
      </c>
    </row>
    <row r="15" spans="1:54" outlineLevel="2">
      <c r="A15" s="244" t="s">
        <v>27</v>
      </c>
      <c r="B15" s="244" t="s">
        <v>27</v>
      </c>
      <c r="C15" s="65" t="s">
        <v>35</v>
      </c>
      <c r="D15" s="85" t="s">
        <v>642</v>
      </c>
      <c r="E15" s="109" t="s">
        <v>84</v>
      </c>
      <c r="F15" s="103">
        <f>7960622.32</f>
        <v>7960622.3200000003</v>
      </c>
      <c r="G15" s="103">
        <f>8662590.72</f>
        <v>8662590.7200000007</v>
      </c>
      <c r="H15" s="103">
        <f>9829096.64</f>
        <v>9829096.6400000006</v>
      </c>
      <c r="I15" s="103">
        <f>10136647.87</f>
        <v>10136647.869999999</v>
      </c>
      <c r="J15" s="103">
        <f>11088593.85</f>
        <v>11088593.85</v>
      </c>
      <c r="K15" s="68">
        <f>13097282.85</f>
        <v>13097282.85</v>
      </c>
      <c r="L15" s="68">
        <f>13486171.65</f>
        <v>13486171.65</v>
      </c>
      <c r="M15" s="69">
        <f>14390533.49</f>
        <v>14390533.49</v>
      </c>
      <c r="N15" s="70">
        <f>14356356</f>
        <v>14356356</v>
      </c>
      <c r="O15" s="71">
        <f>13836821</f>
        <v>13836821</v>
      </c>
      <c r="P15" s="71">
        <f>14321110</f>
        <v>14321110</v>
      </c>
      <c r="Q15" s="71">
        <f>14822349</f>
        <v>14822349</v>
      </c>
      <c r="R15" s="71">
        <f>15341131</f>
        <v>15341131</v>
      </c>
      <c r="S15" s="71">
        <f>15862729</f>
        <v>15862729</v>
      </c>
      <c r="T15" s="71">
        <f>16386199</f>
        <v>16386199</v>
      </c>
      <c r="U15" s="71">
        <f>16894171</f>
        <v>16894171</v>
      </c>
      <c r="V15" s="71">
        <f>17384102</f>
        <v>17384102</v>
      </c>
      <c r="W15" s="71">
        <f>17870857</f>
        <v>17870857</v>
      </c>
      <c r="X15" s="71">
        <f>18353370</f>
        <v>18353370</v>
      </c>
      <c r="Y15" s="71">
        <f>18830558</f>
        <v>18830558</v>
      </c>
      <c r="Z15" s="71">
        <f>0</f>
        <v>0</v>
      </c>
      <c r="AA15" s="71">
        <f>0</f>
        <v>0</v>
      </c>
      <c r="AB15" s="71">
        <f>0</f>
        <v>0</v>
      </c>
      <c r="AC15" s="71">
        <f>0</f>
        <v>0</v>
      </c>
      <c r="AD15" s="71">
        <f>0</f>
        <v>0</v>
      </c>
      <c r="AE15" s="71">
        <f>0</f>
        <v>0</v>
      </c>
      <c r="AF15" s="71">
        <f>0</f>
        <v>0</v>
      </c>
      <c r="AG15" s="71">
        <f>0</f>
        <v>0</v>
      </c>
      <c r="AH15" s="71">
        <f>0</f>
        <v>0</v>
      </c>
      <c r="AI15" s="71">
        <f>0</f>
        <v>0</v>
      </c>
      <c r="AJ15" s="71">
        <f>0</f>
        <v>0</v>
      </c>
      <c r="AK15" s="71">
        <f>0</f>
        <v>0</v>
      </c>
      <c r="AL15" s="71">
        <f>0</f>
        <v>0</v>
      </c>
      <c r="AM15" s="71">
        <f>0</f>
        <v>0</v>
      </c>
      <c r="AN15" s="71">
        <f>0</f>
        <v>0</v>
      </c>
      <c r="AO15" s="71">
        <f>0</f>
        <v>0</v>
      </c>
      <c r="AP15" s="71">
        <f>0</f>
        <v>0</v>
      </c>
      <c r="AQ15" s="71">
        <f>0</f>
        <v>0</v>
      </c>
      <c r="AR15" s="71">
        <f>0</f>
        <v>0</v>
      </c>
      <c r="AS15" s="71">
        <f>0</f>
        <v>0</v>
      </c>
      <c r="AT15" s="71">
        <f>0</f>
        <v>0</v>
      </c>
      <c r="AU15" s="71">
        <f>0</f>
        <v>0</v>
      </c>
      <c r="AV15" s="71">
        <f>0</f>
        <v>0</v>
      </c>
      <c r="AW15" s="71">
        <f>0</f>
        <v>0</v>
      </c>
      <c r="AX15" s="71">
        <f>0</f>
        <v>0</v>
      </c>
      <c r="AY15" s="71">
        <f>0</f>
        <v>0</v>
      </c>
      <c r="AZ15" s="71">
        <f>0</f>
        <v>0</v>
      </c>
      <c r="BA15" s="72">
        <f>0</f>
        <v>0</v>
      </c>
    </row>
    <row r="16" spans="1:54" outlineLevel="2">
      <c r="A16" s="244"/>
      <c r="B16" s="244"/>
      <c r="C16" s="65" t="s">
        <v>36</v>
      </c>
      <c r="D16" s="85"/>
      <c r="E16" s="109" t="s">
        <v>314</v>
      </c>
      <c r="F16" s="103">
        <f>3069878.44</f>
        <v>3069878.44</v>
      </c>
      <c r="G16" s="103">
        <f>3446144.05</f>
        <v>3446144.05</v>
      </c>
      <c r="H16" s="103">
        <f>3634978.72</f>
        <v>3634978.72</v>
      </c>
      <c r="I16" s="103">
        <f>3662344.34</f>
        <v>3662344.34</v>
      </c>
      <c r="J16" s="103">
        <f>3922448.09</f>
        <v>3922448.09</v>
      </c>
      <c r="K16" s="68">
        <f>3770620.66</f>
        <v>3770620.66</v>
      </c>
      <c r="L16" s="68">
        <f>4248609</f>
        <v>4248609</v>
      </c>
      <c r="M16" s="69">
        <f>5480446.05</f>
        <v>5480446.0499999998</v>
      </c>
      <c r="N16" s="70">
        <f>3709000</f>
        <v>3709000</v>
      </c>
      <c r="O16" s="71">
        <f>4546233</f>
        <v>4546233</v>
      </c>
      <c r="P16" s="71">
        <f>4705351</f>
        <v>4705351</v>
      </c>
      <c r="Q16" s="71">
        <f>4870038</f>
        <v>4870038</v>
      </c>
      <c r="R16" s="71">
        <f>5040489</f>
        <v>5040489</v>
      </c>
      <c r="S16" s="71">
        <f>5211866</f>
        <v>5211866</v>
      </c>
      <c r="T16" s="71">
        <f>5383858</f>
        <v>5383858</v>
      </c>
      <c r="U16" s="71">
        <f>5550758</f>
        <v>5550758</v>
      </c>
      <c r="V16" s="71">
        <f>5711730</f>
        <v>5711730</v>
      </c>
      <c r="W16" s="71">
        <f>5871658</f>
        <v>5871658</v>
      </c>
      <c r="X16" s="71">
        <f>6030193</f>
        <v>6030193</v>
      </c>
      <c r="Y16" s="71">
        <f>6186978</f>
        <v>6186978</v>
      </c>
      <c r="Z16" s="71">
        <f>0</f>
        <v>0</v>
      </c>
      <c r="AA16" s="71">
        <f>0</f>
        <v>0</v>
      </c>
      <c r="AB16" s="71">
        <f>0</f>
        <v>0</v>
      </c>
      <c r="AC16" s="71">
        <f>0</f>
        <v>0</v>
      </c>
      <c r="AD16" s="71">
        <f>0</f>
        <v>0</v>
      </c>
      <c r="AE16" s="71">
        <f>0</f>
        <v>0</v>
      </c>
      <c r="AF16" s="71">
        <f>0</f>
        <v>0</v>
      </c>
      <c r="AG16" s="71">
        <f>0</f>
        <v>0</v>
      </c>
      <c r="AH16" s="71">
        <f>0</f>
        <v>0</v>
      </c>
      <c r="AI16" s="71">
        <f>0</f>
        <v>0</v>
      </c>
      <c r="AJ16" s="71">
        <f>0</f>
        <v>0</v>
      </c>
      <c r="AK16" s="71">
        <f>0</f>
        <v>0</v>
      </c>
      <c r="AL16" s="71">
        <f>0</f>
        <v>0</v>
      </c>
      <c r="AM16" s="71">
        <f>0</f>
        <v>0</v>
      </c>
      <c r="AN16" s="71">
        <f>0</f>
        <v>0</v>
      </c>
      <c r="AO16" s="71">
        <f>0</f>
        <v>0</v>
      </c>
      <c r="AP16" s="71">
        <f>0</f>
        <v>0</v>
      </c>
      <c r="AQ16" s="71">
        <f>0</f>
        <v>0</v>
      </c>
      <c r="AR16" s="71">
        <f>0</f>
        <v>0</v>
      </c>
      <c r="AS16" s="71">
        <f>0</f>
        <v>0</v>
      </c>
      <c r="AT16" s="71">
        <f>0</f>
        <v>0</v>
      </c>
      <c r="AU16" s="71">
        <f>0</f>
        <v>0</v>
      </c>
      <c r="AV16" s="71">
        <f>0</f>
        <v>0</v>
      </c>
      <c r="AW16" s="71">
        <f>0</f>
        <v>0</v>
      </c>
      <c r="AX16" s="71">
        <f>0</f>
        <v>0</v>
      </c>
      <c r="AY16" s="71">
        <f>0</f>
        <v>0</v>
      </c>
      <c r="AZ16" s="71">
        <f>0</f>
        <v>0</v>
      </c>
      <c r="BA16" s="72">
        <f>0</f>
        <v>0</v>
      </c>
    </row>
    <row r="17" spans="1:54" outlineLevel="3">
      <c r="A17" s="244"/>
      <c r="B17" s="244"/>
      <c r="C17" s="65" t="s">
        <v>268</v>
      </c>
      <c r="D17" s="85" t="s">
        <v>643</v>
      </c>
      <c r="E17" s="458" t="s">
        <v>82</v>
      </c>
      <c r="F17" s="103">
        <f>0</f>
        <v>0</v>
      </c>
      <c r="G17" s="103">
        <f>0</f>
        <v>0</v>
      </c>
      <c r="H17" s="103">
        <f>0</f>
        <v>0</v>
      </c>
      <c r="I17" s="103">
        <f>0</f>
        <v>0</v>
      </c>
      <c r="J17" s="103">
        <f>0</f>
        <v>0</v>
      </c>
      <c r="K17" s="68">
        <f>0</f>
        <v>0</v>
      </c>
      <c r="L17" s="68">
        <f>0</f>
        <v>0</v>
      </c>
      <c r="M17" s="69">
        <f>0</f>
        <v>0</v>
      </c>
      <c r="N17" s="70">
        <f>0</f>
        <v>0</v>
      </c>
      <c r="O17" s="71">
        <f>0</f>
        <v>0</v>
      </c>
      <c r="P17" s="71">
        <f>0</f>
        <v>0</v>
      </c>
      <c r="Q17" s="71">
        <f>0</f>
        <v>0</v>
      </c>
      <c r="R17" s="71">
        <f>0</f>
        <v>0</v>
      </c>
      <c r="S17" s="71">
        <f>0</f>
        <v>0</v>
      </c>
      <c r="T17" s="71">
        <f>0</f>
        <v>0</v>
      </c>
      <c r="U17" s="71">
        <f>0</f>
        <v>0</v>
      </c>
      <c r="V17" s="71">
        <f>0</f>
        <v>0</v>
      </c>
      <c r="W17" s="71">
        <f>0</f>
        <v>0</v>
      </c>
      <c r="X17" s="71">
        <f>0</f>
        <v>0</v>
      </c>
      <c r="Y17" s="71">
        <f>0</f>
        <v>0</v>
      </c>
      <c r="Z17" s="71">
        <f>0</f>
        <v>0</v>
      </c>
      <c r="AA17" s="71">
        <f>0</f>
        <v>0</v>
      </c>
      <c r="AB17" s="71">
        <f>0</f>
        <v>0</v>
      </c>
      <c r="AC17" s="71">
        <f>0</f>
        <v>0</v>
      </c>
      <c r="AD17" s="71">
        <f>0</f>
        <v>0</v>
      </c>
      <c r="AE17" s="71">
        <f>0</f>
        <v>0</v>
      </c>
      <c r="AF17" s="71">
        <f>0</f>
        <v>0</v>
      </c>
      <c r="AG17" s="71">
        <f>0</f>
        <v>0</v>
      </c>
      <c r="AH17" s="71">
        <f>0</f>
        <v>0</v>
      </c>
      <c r="AI17" s="71">
        <f>0</f>
        <v>0</v>
      </c>
      <c r="AJ17" s="71">
        <f>0</f>
        <v>0</v>
      </c>
      <c r="AK17" s="71">
        <f>0</f>
        <v>0</v>
      </c>
      <c r="AL17" s="71">
        <f>0</f>
        <v>0</v>
      </c>
      <c r="AM17" s="71">
        <f>0</f>
        <v>0</v>
      </c>
      <c r="AN17" s="71">
        <f>0</f>
        <v>0</v>
      </c>
      <c r="AO17" s="71">
        <f>0</f>
        <v>0</v>
      </c>
      <c r="AP17" s="71">
        <f>0</f>
        <v>0</v>
      </c>
      <c r="AQ17" s="71">
        <f>0</f>
        <v>0</v>
      </c>
      <c r="AR17" s="71">
        <f>0</f>
        <v>0</v>
      </c>
      <c r="AS17" s="71">
        <f>0</f>
        <v>0</v>
      </c>
      <c r="AT17" s="71">
        <f>0</f>
        <v>0</v>
      </c>
      <c r="AU17" s="71">
        <f>0</f>
        <v>0</v>
      </c>
      <c r="AV17" s="71">
        <f>0</f>
        <v>0</v>
      </c>
      <c r="AW17" s="71">
        <f>0</f>
        <v>0</v>
      </c>
      <c r="AX17" s="71">
        <f>0</f>
        <v>0</v>
      </c>
      <c r="AY17" s="71">
        <f>0</f>
        <v>0</v>
      </c>
      <c r="AZ17" s="71">
        <f>0</f>
        <v>0</v>
      </c>
      <c r="BA17" s="72">
        <f>0</f>
        <v>0</v>
      </c>
    </row>
    <row r="18" spans="1:54" outlineLevel="1">
      <c r="A18" s="244" t="s">
        <v>27</v>
      </c>
      <c r="B18" s="244"/>
      <c r="C18" s="65" t="s">
        <v>52</v>
      </c>
      <c r="D18" s="85" t="s">
        <v>358</v>
      </c>
      <c r="E18" s="447" t="s">
        <v>25</v>
      </c>
      <c r="F18" s="103">
        <f>3669599.15</f>
        <v>3669599.15</v>
      </c>
      <c r="G18" s="103">
        <f>6057658.02</f>
        <v>6057658.0199999996</v>
      </c>
      <c r="H18" s="103">
        <f>4225247.07</f>
        <v>4225247.07</v>
      </c>
      <c r="I18" s="103">
        <f>9229576.53</f>
        <v>9229576.5299999993</v>
      </c>
      <c r="J18" s="103">
        <f>13435893.33</f>
        <v>13435893.33</v>
      </c>
      <c r="K18" s="68">
        <f>14601164.66</f>
        <v>14601164.66</v>
      </c>
      <c r="L18" s="68">
        <f>5599950</f>
        <v>5599950</v>
      </c>
      <c r="M18" s="69">
        <f>11311007.06</f>
        <v>11311007.060000001</v>
      </c>
      <c r="N18" s="70">
        <f>10814085</f>
        <v>10814085</v>
      </c>
      <c r="O18" s="71">
        <f>22250000</f>
        <v>22250000</v>
      </c>
      <c r="P18" s="71">
        <f t="shared" ref="P18:W18" si="3">500000</f>
        <v>500000</v>
      </c>
      <c r="Q18" s="71">
        <f t="shared" si="3"/>
        <v>500000</v>
      </c>
      <c r="R18" s="71">
        <f t="shared" si="3"/>
        <v>500000</v>
      </c>
      <c r="S18" s="71">
        <f t="shared" si="3"/>
        <v>500000</v>
      </c>
      <c r="T18" s="71">
        <f t="shared" si="3"/>
        <v>500000</v>
      </c>
      <c r="U18" s="71">
        <f t="shared" si="3"/>
        <v>500000</v>
      </c>
      <c r="V18" s="71">
        <f t="shared" si="3"/>
        <v>500000</v>
      </c>
      <c r="W18" s="71">
        <f t="shared" si="3"/>
        <v>500000</v>
      </c>
      <c r="X18" s="71">
        <f>0</f>
        <v>0</v>
      </c>
      <c r="Y18" s="71">
        <f>0</f>
        <v>0</v>
      </c>
      <c r="Z18" s="71">
        <f>0</f>
        <v>0</v>
      </c>
      <c r="AA18" s="71">
        <f>0</f>
        <v>0</v>
      </c>
      <c r="AB18" s="71">
        <f>0</f>
        <v>0</v>
      </c>
      <c r="AC18" s="71">
        <f>0</f>
        <v>0</v>
      </c>
      <c r="AD18" s="71">
        <f>0</f>
        <v>0</v>
      </c>
      <c r="AE18" s="71">
        <f>0</f>
        <v>0</v>
      </c>
      <c r="AF18" s="71">
        <f>0</f>
        <v>0</v>
      </c>
      <c r="AG18" s="71">
        <f>0</f>
        <v>0</v>
      </c>
      <c r="AH18" s="71">
        <f>0</f>
        <v>0</v>
      </c>
      <c r="AI18" s="71">
        <f>0</f>
        <v>0</v>
      </c>
      <c r="AJ18" s="71">
        <f>0</f>
        <v>0</v>
      </c>
      <c r="AK18" s="71">
        <f>0</f>
        <v>0</v>
      </c>
      <c r="AL18" s="71">
        <f>0</f>
        <v>0</v>
      </c>
      <c r="AM18" s="71">
        <f>0</f>
        <v>0</v>
      </c>
      <c r="AN18" s="71">
        <f>0</f>
        <v>0</v>
      </c>
      <c r="AO18" s="71">
        <f>0</f>
        <v>0</v>
      </c>
      <c r="AP18" s="71">
        <f>0</f>
        <v>0</v>
      </c>
      <c r="AQ18" s="71">
        <f>0</f>
        <v>0</v>
      </c>
      <c r="AR18" s="71">
        <f>0</f>
        <v>0</v>
      </c>
      <c r="AS18" s="71">
        <f>0</f>
        <v>0</v>
      </c>
      <c r="AT18" s="71">
        <f>0</f>
        <v>0</v>
      </c>
      <c r="AU18" s="71">
        <f>0</f>
        <v>0</v>
      </c>
      <c r="AV18" s="71">
        <f>0</f>
        <v>0</v>
      </c>
      <c r="AW18" s="71">
        <f>0</f>
        <v>0</v>
      </c>
      <c r="AX18" s="71">
        <f>0</f>
        <v>0</v>
      </c>
      <c r="AY18" s="71">
        <f>0</f>
        <v>0</v>
      </c>
      <c r="AZ18" s="71">
        <f>0</f>
        <v>0</v>
      </c>
      <c r="BA18" s="72">
        <f>0</f>
        <v>0</v>
      </c>
    </row>
    <row r="19" spans="1:54" outlineLevel="2">
      <c r="A19" s="244"/>
      <c r="B19" s="244" t="s">
        <v>27</v>
      </c>
      <c r="C19" s="65" t="s">
        <v>37</v>
      </c>
      <c r="D19" s="85" t="s">
        <v>28</v>
      </c>
      <c r="E19" s="109" t="s">
        <v>26</v>
      </c>
      <c r="F19" s="103">
        <f>64900</f>
        <v>64900</v>
      </c>
      <c r="G19" s="103">
        <f>78784</f>
        <v>78784</v>
      </c>
      <c r="H19" s="103">
        <f>54862.11</f>
        <v>54862.11</v>
      </c>
      <c r="I19" s="103">
        <f>1291195.7</f>
        <v>1291195.7</v>
      </c>
      <c r="J19" s="103">
        <f>36723.58</f>
        <v>36723.58</v>
      </c>
      <c r="K19" s="68">
        <f>40699.5</f>
        <v>40699.5</v>
      </c>
      <c r="L19" s="68">
        <f>29000</f>
        <v>29000</v>
      </c>
      <c r="M19" s="69">
        <f>3477093.64</f>
        <v>3477093.64</v>
      </c>
      <c r="N19" s="70">
        <f>29000</f>
        <v>29000</v>
      </c>
      <c r="O19" s="71">
        <f>0</f>
        <v>0</v>
      </c>
      <c r="P19" s="71">
        <f>0</f>
        <v>0</v>
      </c>
      <c r="Q19" s="71">
        <f>0</f>
        <v>0</v>
      </c>
      <c r="R19" s="71">
        <f>0</f>
        <v>0</v>
      </c>
      <c r="S19" s="71">
        <f>0</f>
        <v>0</v>
      </c>
      <c r="T19" s="71">
        <f>0</f>
        <v>0</v>
      </c>
      <c r="U19" s="71">
        <f>0</f>
        <v>0</v>
      </c>
      <c r="V19" s="71">
        <f>0</f>
        <v>0</v>
      </c>
      <c r="W19" s="71">
        <f>0</f>
        <v>0</v>
      </c>
      <c r="X19" s="71">
        <f>0</f>
        <v>0</v>
      </c>
      <c r="Y19" s="71">
        <f>0</f>
        <v>0</v>
      </c>
      <c r="Z19" s="71">
        <f>0</f>
        <v>0</v>
      </c>
      <c r="AA19" s="71">
        <f>0</f>
        <v>0</v>
      </c>
      <c r="AB19" s="71">
        <f>0</f>
        <v>0</v>
      </c>
      <c r="AC19" s="71">
        <f>0</f>
        <v>0</v>
      </c>
      <c r="AD19" s="71">
        <f>0</f>
        <v>0</v>
      </c>
      <c r="AE19" s="71">
        <f>0</f>
        <v>0</v>
      </c>
      <c r="AF19" s="71">
        <f>0</f>
        <v>0</v>
      </c>
      <c r="AG19" s="71">
        <f>0</f>
        <v>0</v>
      </c>
      <c r="AH19" s="71">
        <f>0</f>
        <v>0</v>
      </c>
      <c r="AI19" s="71">
        <f>0</f>
        <v>0</v>
      </c>
      <c r="AJ19" s="71">
        <f>0</f>
        <v>0</v>
      </c>
      <c r="AK19" s="71">
        <f>0</f>
        <v>0</v>
      </c>
      <c r="AL19" s="71">
        <f>0</f>
        <v>0</v>
      </c>
      <c r="AM19" s="71">
        <f>0</f>
        <v>0</v>
      </c>
      <c r="AN19" s="71">
        <f>0</f>
        <v>0</v>
      </c>
      <c r="AO19" s="71">
        <f>0</f>
        <v>0</v>
      </c>
      <c r="AP19" s="71">
        <f>0</f>
        <v>0</v>
      </c>
      <c r="AQ19" s="71">
        <f>0</f>
        <v>0</v>
      </c>
      <c r="AR19" s="71">
        <f>0</f>
        <v>0</v>
      </c>
      <c r="AS19" s="71">
        <f>0</f>
        <v>0</v>
      </c>
      <c r="AT19" s="71">
        <f>0</f>
        <v>0</v>
      </c>
      <c r="AU19" s="71">
        <f>0</f>
        <v>0</v>
      </c>
      <c r="AV19" s="71">
        <f>0</f>
        <v>0</v>
      </c>
      <c r="AW19" s="71">
        <f>0</f>
        <v>0</v>
      </c>
      <c r="AX19" s="71">
        <f>0</f>
        <v>0</v>
      </c>
      <c r="AY19" s="71">
        <f>0</f>
        <v>0</v>
      </c>
      <c r="AZ19" s="71">
        <f>0</f>
        <v>0</v>
      </c>
      <c r="BA19" s="72">
        <f>0</f>
        <v>0</v>
      </c>
    </row>
    <row r="20" spans="1:54" outlineLevel="2">
      <c r="A20" s="244"/>
      <c r="B20" s="244"/>
      <c r="C20" s="65" t="s">
        <v>38</v>
      </c>
      <c r="D20" s="85"/>
      <c r="E20" s="109" t="s">
        <v>85</v>
      </c>
      <c r="F20" s="103">
        <f>3604699.15</f>
        <v>3604699.15</v>
      </c>
      <c r="G20" s="103">
        <f>5978874.02</f>
        <v>5978874.0199999996</v>
      </c>
      <c r="H20" s="103">
        <f>4170384.96</f>
        <v>4170384.96</v>
      </c>
      <c r="I20" s="103">
        <f>7938380.83</f>
        <v>7938380.8300000001</v>
      </c>
      <c r="J20" s="103">
        <f>13399169.75</f>
        <v>13399169.75</v>
      </c>
      <c r="K20" s="68">
        <f>14447305.16</f>
        <v>14447305.16</v>
      </c>
      <c r="L20" s="68">
        <f>5517814</f>
        <v>5517814</v>
      </c>
      <c r="M20" s="69">
        <f>7780777.42</f>
        <v>7780777.4199999999</v>
      </c>
      <c r="N20" s="70">
        <f>10785085</f>
        <v>10785085</v>
      </c>
      <c r="O20" s="71">
        <f>22250000</f>
        <v>22250000</v>
      </c>
      <c r="P20" s="71">
        <f t="shared" ref="P20:W20" si="4">500000</f>
        <v>500000</v>
      </c>
      <c r="Q20" s="71">
        <f t="shared" si="4"/>
        <v>500000</v>
      </c>
      <c r="R20" s="71">
        <f t="shared" si="4"/>
        <v>500000</v>
      </c>
      <c r="S20" s="71">
        <f t="shared" si="4"/>
        <v>500000</v>
      </c>
      <c r="T20" s="71">
        <f t="shared" si="4"/>
        <v>500000</v>
      </c>
      <c r="U20" s="71">
        <f t="shared" si="4"/>
        <v>500000</v>
      </c>
      <c r="V20" s="71">
        <f t="shared" si="4"/>
        <v>500000</v>
      </c>
      <c r="W20" s="71">
        <f t="shared" si="4"/>
        <v>500000</v>
      </c>
      <c r="X20" s="71">
        <f>0</f>
        <v>0</v>
      </c>
      <c r="Y20" s="71">
        <f>0</f>
        <v>0</v>
      </c>
      <c r="Z20" s="71">
        <f>0</f>
        <v>0</v>
      </c>
      <c r="AA20" s="71">
        <f>0</f>
        <v>0</v>
      </c>
      <c r="AB20" s="71">
        <f>0</f>
        <v>0</v>
      </c>
      <c r="AC20" s="71">
        <f>0</f>
        <v>0</v>
      </c>
      <c r="AD20" s="71">
        <f>0</f>
        <v>0</v>
      </c>
      <c r="AE20" s="71">
        <f>0</f>
        <v>0</v>
      </c>
      <c r="AF20" s="71">
        <f>0</f>
        <v>0</v>
      </c>
      <c r="AG20" s="71">
        <f>0</f>
        <v>0</v>
      </c>
      <c r="AH20" s="71">
        <f>0</f>
        <v>0</v>
      </c>
      <c r="AI20" s="71">
        <f>0</f>
        <v>0</v>
      </c>
      <c r="AJ20" s="71">
        <f>0</f>
        <v>0</v>
      </c>
      <c r="AK20" s="71">
        <f>0</f>
        <v>0</v>
      </c>
      <c r="AL20" s="71">
        <f>0</f>
        <v>0</v>
      </c>
      <c r="AM20" s="71">
        <f>0</f>
        <v>0</v>
      </c>
      <c r="AN20" s="71">
        <f>0</f>
        <v>0</v>
      </c>
      <c r="AO20" s="71">
        <f>0</f>
        <v>0</v>
      </c>
      <c r="AP20" s="71">
        <f>0</f>
        <v>0</v>
      </c>
      <c r="AQ20" s="71">
        <f>0</f>
        <v>0</v>
      </c>
      <c r="AR20" s="71">
        <f>0</f>
        <v>0</v>
      </c>
      <c r="AS20" s="71">
        <f>0</f>
        <v>0</v>
      </c>
      <c r="AT20" s="71">
        <f>0</f>
        <v>0</v>
      </c>
      <c r="AU20" s="71">
        <f>0</f>
        <v>0</v>
      </c>
      <c r="AV20" s="71">
        <f>0</f>
        <v>0</v>
      </c>
      <c r="AW20" s="71">
        <f>0</f>
        <v>0</v>
      </c>
      <c r="AX20" s="71">
        <f>0</f>
        <v>0</v>
      </c>
      <c r="AY20" s="71">
        <f>0</f>
        <v>0</v>
      </c>
      <c r="AZ20" s="71">
        <f>0</f>
        <v>0</v>
      </c>
      <c r="BA20" s="72">
        <f>0</f>
        <v>0</v>
      </c>
    </row>
    <row r="21" spans="1:54" ht="15">
      <c r="A21" s="244" t="s">
        <v>27</v>
      </c>
      <c r="B21" s="244" t="s">
        <v>27</v>
      </c>
      <c r="C21" s="22">
        <v>2</v>
      </c>
      <c r="D21" s="85"/>
      <c r="E21" s="111" t="s">
        <v>19</v>
      </c>
      <c r="F21" s="104">
        <f>38402771.2</f>
        <v>38402771.200000003</v>
      </c>
      <c r="G21" s="104">
        <f>40595412.7</f>
        <v>40595412.700000003</v>
      </c>
      <c r="H21" s="104">
        <f>41118955.22</f>
        <v>41118955.219999999</v>
      </c>
      <c r="I21" s="104">
        <f>48929065.77</f>
        <v>48929065.770000003</v>
      </c>
      <c r="J21" s="104">
        <f>53554013.27</f>
        <v>53554013.270000003</v>
      </c>
      <c r="K21" s="66">
        <f>58686050.71</f>
        <v>58686050.710000001</v>
      </c>
      <c r="L21" s="66">
        <f>65856292.65</f>
        <v>65856292.649999999</v>
      </c>
      <c r="M21" s="67">
        <f>63094220.71</f>
        <v>63094220.710000001</v>
      </c>
      <c r="N21" s="23">
        <f>75388933</f>
        <v>75388933</v>
      </c>
      <c r="O21" s="24">
        <f>72658346</f>
        <v>72658346</v>
      </c>
      <c r="P21" s="24">
        <f>51792637</f>
        <v>51792637</v>
      </c>
      <c r="Q21" s="24">
        <f>53569905</f>
        <v>53569905</v>
      </c>
      <c r="R21" s="24">
        <f>55497351</f>
        <v>55497351</v>
      </c>
      <c r="S21" s="24">
        <f>57435260</f>
        <v>57435260</v>
      </c>
      <c r="T21" s="24">
        <f>59880124</f>
        <v>59880124</v>
      </c>
      <c r="U21" s="24">
        <f>61767408</f>
        <v>61767408</v>
      </c>
      <c r="V21" s="24">
        <f>63587663</f>
        <v>63587663</v>
      </c>
      <c r="W21" s="24">
        <f>65396118</f>
        <v>65396118</v>
      </c>
      <c r="X21" s="24">
        <f>66438813</f>
        <v>66438813</v>
      </c>
      <c r="Y21" s="24">
        <f>68211722</f>
        <v>68211722</v>
      </c>
      <c r="Z21" s="24">
        <f>0</f>
        <v>0</v>
      </c>
      <c r="AA21" s="24">
        <f>0</f>
        <v>0</v>
      </c>
      <c r="AB21" s="24">
        <f>0</f>
        <v>0</v>
      </c>
      <c r="AC21" s="24">
        <f>0</f>
        <v>0</v>
      </c>
      <c r="AD21" s="24">
        <f>0</f>
        <v>0</v>
      </c>
      <c r="AE21" s="24">
        <f>0</f>
        <v>0</v>
      </c>
      <c r="AF21" s="24">
        <f>0</f>
        <v>0</v>
      </c>
      <c r="AG21" s="24">
        <f>0</f>
        <v>0</v>
      </c>
      <c r="AH21" s="24">
        <f>0</f>
        <v>0</v>
      </c>
      <c r="AI21" s="24">
        <f>0</f>
        <v>0</v>
      </c>
      <c r="AJ21" s="24">
        <f>0</f>
        <v>0</v>
      </c>
      <c r="AK21" s="24">
        <f>0</f>
        <v>0</v>
      </c>
      <c r="AL21" s="24">
        <f>0</f>
        <v>0</v>
      </c>
      <c r="AM21" s="24">
        <f>0</f>
        <v>0</v>
      </c>
      <c r="AN21" s="24">
        <f>0</f>
        <v>0</v>
      </c>
      <c r="AO21" s="24">
        <f>0</f>
        <v>0</v>
      </c>
      <c r="AP21" s="24">
        <f>0</f>
        <v>0</v>
      </c>
      <c r="AQ21" s="24">
        <f>0</f>
        <v>0</v>
      </c>
      <c r="AR21" s="24">
        <f>0</f>
        <v>0</v>
      </c>
      <c r="AS21" s="24">
        <f>0</f>
        <v>0</v>
      </c>
      <c r="AT21" s="24">
        <f>0</f>
        <v>0</v>
      </c>
      <c r="AU21" s="24">
        <f>0</f>
        <v>0</v>
      </c>
      <c r="AV21" s="24">
        <f>0</f>
        <v>0</v>
      </c>
      <c r="AW21" s="24">
        <f>0</f>
        <v>0</v>
      </c>
      <c r="AX21" s="24">
        <f>0</f>
        <v>0</v>
      </c>
      <c r="AY21" s="24">
        <f>0</f>
        <v>0</v>
      </c>
      <c r="AZ21" s="24">
        <f>0</f>
        <v>0</v>
      </c>
      <c r="BA21" s="25">
        <f>0</f>
        <v>0</v>
      </c>
      <c r="BB21" s="21"/>
    </row>
    <row r="22" spans="1:54" outlineLevel="1">
      <c r="A22" s="244" t="s">
        <v>27</v>
      </c>
      <c r="B22" s="244" t="s">
        <v>27</v>
      </c>
      <c r="C22" s="65" t="s">
        <v>53</v>
      </c>
      <c r="D22" s="86" t="s">
        <v>359</v>
      </c>
      <c r="E22" s="447" t="s">
        <v>86</v>
      </c>
      <c r="F22" s="103">
        <f>31632400.23</f>
        <v>31632400.23</v>
      </c>
      <c r="G22" s="103">
        <f>32166844.72</f>
        <v>32166844.719999999</v>
      </c>
      <c r="H22" s="103">
        <f>34480864.69</f>
        <v>34480864.689999998</v>
      </c>
      <c r="I22" s="103">
        <f>36229255.33</f>
        <v>36229255.329999998</v>
      </c>
      <c r="J22" s="103">
        <f>39452545.94</f>
        <v>39452545.939999998</v>
      </c>
      <c r="K22" s="68">
        <f>43297686.59</f>
        <v>43297686.590000004</v>
      </c>
      <c r="L22" s="68">
        <f>47636304.65</f>
        <v>47636304.649999999</v>
      </c>
      <c r="M22" s="69">
        <f>47627584.74</f>
        <v>47627584.740000002</v>
      </c>
      <c r="N22" s="70">
        <f>48854045</f>
        <v>48854045</v>
      </c>
      <c r="O22" s="71">
        <f>49503492</f>
        <v>49503492</v>
      </c>
      <c r="P22" s="71">
        <f>50762353</f>
        <v>50762353</v>
      </c>
      <c r="Q22" s="71">
        <f>51956372</f>
        <v>51956372</v>
      </c>
      <c r="R22" s="71">
        <f>53180446</f>
        <v>53180446</v>
      </c>
      <c r="S22" s="71">
        <f>54436717</f>
        <v>54436717</v>
      </c>
      <c r="T22" s="71">
        <f>55733965</f>
        <v>55733965</v>
      </c>
      <c r="U22" s="71">
        <f>57077015</f>
        <v>57077015</v>
      </c>
      <c r="V22" s="71">
        <f>58460737</f>
        <v>58460737</v>
      </c>
      <c r="W22" s="71">
        <f>59881998</f>
        <v>59881998</v>
      </c>
      <c r="X22" s="71">
        <f>61326987</f>
        <v>61326987</v>
      </c>
      <c r="Y22" s="71">
        <f>62796615</f>
        <v>62796615</v>
      </c>
      <c r="Z22" s="71">
        <f>0</f>
        <v>0</v>
      </c>
      <c r="AA22" s="71">
        <f>0</f>
        <v>0</v>
      </c>
      <c r="AB22" s="71">
        <f>0</f>
        <v>0</v>
      </c>
      <c r="AC22" s="71">
        <f>0</f>
        <v>0</v>
      </c>
      <c r="AD22" s="71">
        <f>0</f>
        <v>0</v>
      </c>
      <c r="AE22" s="71">
        <f>0</f>
        <v>0</v>
      </c>
      <c r="AF22" s="71">
        <f>0</f>
        <v>0</v>
      </c>
      <c r="AG22" s="71">
        <f>0</f>
        <v>0</v>
      </c>
      <c r="AH22" s="71">
        <f>0</f>
        <v>0</v>
      </c>
      <c r="AI22" s="71">
        <f>0</f>
        <v>0</v>
      </c>
      <c r="AJ22" s="71">
        <f>0</f>
        <v>0</v>
      </c>
      <c r="AK22" s="71">
        <f>0</f>
        <v>0</v>
      </c>
      <c r="AL22" s="71">
        <f>0</f>
        <v>0</v>
      </c>
      <c r="AM22" s="71">
        <f>0</f>
        <v>0</v>
      </c>
      <c r="AN22" s="71">
        <f>0</f>
        <v>0</v>
      </c>
      <c r="AO22" s="71">
        <f>0</f>
        <v>0</v>
      </c>
      <c r="AP22" s="71">
        <f>0</f>
        <v>0</v>
      </c>
      <c r="AQ22" s="71">
        <f>0</f>
        <v>0</v>
      </c>
      <c r="AR22" s="71">
        <f>0</f>
        <v>0</v>
      </c>
      <c r="AS22" s="71">
        <f>0</f>
        <v>0</v>
      </c>
      <c r="AT22" s="71">
        <f>0</f>
        <v>0</v>
      </c>
      <c r="AU22" s="71">
        <f>0</f>
        <v>0</v>
      </c>
      <c r="AV22" s="71">
        <f>0</f>
        <v>0</v>
      </c>
      <c r="AW22" s="71">
        <f>0</f>
        <v>0</v>
      </c>
      <c r="AX22" s="71">
        <f>0</f>
        <v>0</v>
      </c>
      <c r="AY22" s="71">
        <f>0</f>
        <v>0</v>
      </c>
      <c r="AZ22" s="71">
        <f>0</f>
        <v>0</v>
      </c>
      <c r="BA22" s="72">
        <f>0</f>
        <v>0</v>
      </c>
    </row>
    <row r="23" spans="1:54" outlineLevel="2">
      <c r="A23" s="244"/>
      <c r="B23" s="244"/>
      <c r="C23" s="65" t="s">
        <v>39</v>
      </c>
      <c r="D23" s="85" t="s">
        <v>363</v>
      </c>
      <c r="E23" s="109" t="s">
        <v>315</v>
      </c>
      <c r="F23" s="103">
        <f>20618194.64</f>
        <v>20618194.640000001</v>
      </c>
      <c r="G23" s="103">
        <f>20752530.14</f>
        <v>20752530.140000001</v>
      </c>
      <c r="H23" s="103">
        <f>21840673.78</f>
        <v>21840673.780000001</v>
      </c>
      <c r="I23" s="103">
        <f>22997667.43</f>
        <v>22997667.43</v>
      </c>
      <c r="J23" s="103">
        <f>25151480.3</f>
        <v>25151480.300000001</v>
      </c>
      <c r="K23" s="68">
        <f>27651950.51</f>
        <v>27651950.510000002</v>
      </c>
      <c r="L23" s="68">
        <f>30086732.08</f>
        <v>30086732.079999998</v>
      </c>
      <c r="M23" s="69">
        <f>30785011.42</f>
        <v>30785011.420000002</v>
      </c>
      <c r="N23" s="70">
        <f>31180276</f>
        <v>31180276</v>
      </c>
      <c r="O23" s="71">
        <f>32064184</f>
        <v>32064184</v>
      </c>
      <c r="P23" s="71">
        <f>32929917</f>
        <v>32929917</v>
      </c>
      <c r="Q23" s="71">
        <f>33753165</f>
        <v>33753165</v>
      </c>
      <c r="R23" s="71">
        <f>34596994</f>
        <v>34596994</v>
      </c>
      <c r="S23" s="71">
        <f>35461919</f>
        <v>35461919</v>
      </c>
      <c r="T23" s="71">
        <f>36348467</f>
        <v>36348467</v>
      </c>
      <c r="U23" s="71">
        <f>37257179</f>
        <v>37257179</v>
      </c>
      <c r="V23" s="71">
        <f>38188608</f>
        <v>38188608</v>
      </c>
      <c r="W23" s="71">
        <f>39143323</f>
        <v>39143323</v>
      </c>
      <c r="X23" s="71">
        <f>40121906</f>
        <v>40121906</v>
      </c>
      <c r="Y23" s="71">
        <f>41124954</f>
        <v>41124954</v>
      </c>
      <c r="Z23" s="71">
        <f>0</f>
        <v>0</v>
      </c>
      <c r="AA23" s="71">
        <f>0</f>
        <v>0</v>
      </c>
      <c r="AB23" s="71">
        <f>0</f>
        <v>0</v>
      </c>
      <c r="AC23" s="71">
        <f>0</f>
        <v>0</v>
      </c>
      <c r="AD23" s="71">
        <f>0</f>
        <v>0</v>
      </c>
      <c r="AE23" s="71">
        <f>0</f>
        <v>0</v>
      </c>
      <c r="AF23" s="71">
        <f>0</f>
        <v>0</v>
      </c>
      <c r="AG23" s="71">
        <f>0</f>
        <v>0</v>
      </c>
      <c r="AH23" s="71">
        <f>0</f>
        <v>0</v>
      </c>
      <c r="AI23" s="71">
        <f>0</f>
        <v>0</v>
      </c>
      <c r="AJ23" s="71">
        <f>0</f>
        <v>0</v>
      </c>
      <c r="AK23" s="71">
        <f>0</f>
        <v>0</v>
      </c>
      <c r="AL23" s="71">
        <f>0</f>
        <v>0</v>
      </c>
      <c r="AM23" s="71">
        <f>0</f>
        <v>0</v>
      </c>
      <c r="AN23" s="71">
        <f>0</f>
        <v>0</v>
      </c>
      <c r="AO23" s="71">
        <f>0</f>
        <v>0</v>
      </c>
      <c r="AP23" s="71">
        <f>0</f>
        <v>0</v>
      </c>
      <c r="AQ23" s="71">
        <f>0</f>
        <v>0</v>
      </c>
      <c r="AR23" s="71">
        <f>0</f>
        <v>0</v>
      </c>
      <c r="AS23" s="71">
        <f>0</f>
        <v>0</v>
      </c>
      <c r="AT23" s="71">
        <f>0</f>
        <v>0</v>
      </c>
      <c r="AU23" s="71">
        <f>0</f>
        <v>0</v>
      </c>
      <c r="AV23" s="71">
        <f>0</f>
        <v>0</v>
      </c>
      <c r="AW23" s="71">
        <f>0</f>
        <v>0</v>
      </c>
      <c r="AX23" s="71">
        <f>0</f>
        <v>0</v>
      </c>
      <c r="AY23" s="71">
        <f>0</f>
        <v>0</v>
      </c>
      <c r="AZ23" s="71">
        <f>0</f>
        <v>0</v>
      </c>
      <c r="BA23" s="72">
        <f>0</f>
        <v>0</v>
      </c>
    </row>
    <row r="24" spans="1:54" outlineLevel="2">
      <c r="A24" s="244" t="s">
        <v>27</v>
      </c>
      <c r="B24" s="244" t="s">
        <v>27</v>
      </c>
      <c r="C24" s="65" t="s">
        <v>40</v>
      </c>
      <c r="D24" s="85"/>
      <c r="E24" s="109" t="s">
        <v>87</v>
      </c>
      <c r="F24" s="103">
        <f>0</f>
        <v>0</v>
      </c>
      <c r="G24" s="103">
        <f>0</f>
        <v>0</v>
      </c>
      <c r="H24" s="103">
        <f>0</f>
        <v>0</v>
      </c>
      <c r="I24" s="103">
        <f>0</f>
        <v>0</v>
      </c>
      <c r="J24" s="103">
        <f>0</f>
        <v>0</v>
      </c>
      <c r="K24" s="68">
        <f>0</f>
        <v>0</v>
      </c>
      <c r="L24" s="68">
        <f>0</f>
        <v>0</v>
      </c>
      <c r="M24" s="69">
        <f>0</f>
        <v>0</v>
      </c>
      <c r="N24" s="70">
        <f>0</f>
        <v>0</v>
      </c>
      <c r="O24" s="71">
        <f>0</f>
        <v>0</v>
      </c>
      <c r="P24" s="71">
        <f>0</f>
        <v>0</v>
      </c>
      <c r="Q24" s="71">
        <f>0</f>
        <v>0</v>
      </c>
      <c r="R24" s="71">
        <f>0</f>
        <v>0</v>
      </c>
      <c r="S24" s="71">
        <f>0</f>
        <v>0</v>
      </c>
      <c r="T24" s="71">
        <f>0</f>
        <v>0</v>
      </c>
      <c r="U24" s="71">
        <f>0</f>
        <v>0</v>
      </c>
      <c r="V24" s="71">
        <f>0</f>
        <v>0</v>
      </c>
      <c r="W24" s="71">
        <f>0</f>
        <v>0</v>
      </c>
      <c r="X24" s="71">
        <f>0</f>
        <v>0</v>
      </c>
      <c r="Y24" s="71">
        <f>0</f>
        <v>0</v>
      </c>
      <c r="Z24" s="71">
        <f>0</f>
        <v>0</v>
      </c>
      <c r="AA24" s="71">
        <f>0</f>
        <v>0</v>
      </c>
      <c r="AB24" s="71">
        <f>0</f>
        <v>0</v>
      </c>
      <c r="AC24" s="71">
        <f>0</f>
        <v>0</v>
      </c>
      <c r="AD24" s="71">
        <f>0</f>
        <v>0</v>
      </c>
      <c r="AE24" s="71">
        <f>0</f>
        <v>0</v>
      </c>
      <c r="AF24" s="71">
        <f>0</f>
        <v>0</v>
      </c>
      <c r="AG24" s="71">
        <f>0</f>
        <v>0</v>
      </c>
      <c r="AH24" s="71">
        <f>0</f>
        <v>0</v>
      </c>
      <c r="AI24" s="71">
        <f>0</f>
        <v>0</v>
      </c>
      <c r="AJ24" s="71">
        <f>0</f>
        <v>0</v>
      </c>
      <c r="AK24" s="71">
        <f>0</f>
        <v>0</v>
      </c>
      <c r="AL24" s="71">
        <f>0</f>
        <v>0</v>
      </c>
      <c r="AM24" s="71">
        <f>0</f>
        <v>0</v>
      </c>
      <c r="AN24" s="71">
        <f>0</f>
        <v>0</v>
      </c>
      <c r="AO24" s="71">
        <f>0</f>
        <v>0</v>
      </c>
      <c r="AP24" s="71">
        <f>0</f>
        <v>0</v>
      </c>
      <c r="AQ24" s="71">
        <f>0</f>
        <v>0</v>
      </c>
      <c r="AR24" s="71">
        <f>0</f>
        <v>0</v>
      </c>
      <c r="AS24" s="71">
        <f>0</f>
        <v>0</v>
      </c>
      <c r="AT24" s="71">
        <f>0</f>
        <v>0</v>
      </c>
      <c r="AU24" s="71">
        <f>0</f>
        <v>0</v>
      </c>
      <c r="AV24" s="71">
        <f>0</f>
        <v>0</v>
      </c>
      <c r="AW24" s="71">
        <f>0</f>
        <v>0</v>
      </c>
      <c r="AX24" s="71">
        <f>0</f>
        <v>0</v>
      </c>
      <c r="AY24" s="71">
        <f>0</f>
        <v>0</v>
      </c>
      <c r="AZ24" s="71">
        <f>0</f>
        <v>0</v>
      </c>
      <c r="BA24" s="72">
        <f>0</f>
        <v>0</v>
      </c>
    </row>
    <row r="25" spans="1:54" ht="24" outlineLevel="3">
      <c r="A25" s="244" t="s">
        <v>27</v>
      </c>
      <c r="B25" s="244" t="s">
        <v>27</v>
      </c>
      <c r="C25" s="65" t="s">
        <v>269</v>
      </c>
      <c r="D25" s="85"/>
      <c r="E25" s="458" t="s">
        <v>316</v>
      </c>
      <c r="F25" s="103">
        <f>0</f>
        <v>0</v>
      </c>
      <c r="G25" s="103">
        <f>0</f>
        <v>0</v>
      </c>
      <c r="H25" s="103">
        <f>0</f>
        <v>0</v>
      </c>
      <c r="I25" s="103">
        <f>0</f>
        <v>0</v>
      </c>
      <c r="J25" s="103">
        <f>0</f>
        <v>0</v>
      </c>
      <c r="K25" s="68">
        <f>0</f>
        <v>0</v>
      </c>
      <c r="L25" s="68">
        <f>0</f>
        <v>0</v>
      </c>
      <c r="M25" s="69">
        <f>0</f>
        <v>0</v>
      </c>
      <c r="N25" s="70">
        <f>0</f>
        <v>0</v>
      </c>
      <c r="O25" s="71">
        <f>0</f>
        <v>0</v>
      </c>
      <c r="P25" s="71">
        <f>0</f>
        <v>0</v>
      </c>
      <c r="Q25" s="71">
        <f>0</f>
        <v>0</v>
      </c>
      <c r="R25" s="71">
        <f>0</f>
        <v>0</v>
      </c>
      <c r="S25" s="71">
        <f>0</f>
        <v>0</v>
      </c>
      <c r="T25" s="71">
        <f>0</f>
        <v>0</v>
      </c>
      <c r="U25" s="71">
        <f>0</f>
        <v>0</v>
      </c>
      <c r="V25" s="71">
        <f>0</f>
        <v>0</v>
      </c>
      <c r="W25" s="71">
        <f>0</f>
        <v>0</v>
      </c>
      <c r="X25" s="71">
        <f>0</f>
        <v>0</v>
      </c>
      <c r="Y25" s="71">
        <f>0</f>
        <v>0</v>
      </c>
      <c r="Z25" s="71">
        <f>0</f>
        <v>0</v>
      </c>
      <c r="AA25" s="71">
        <f>0</f>
        <v>0</v>
      </c>
      <c r="AB25" s="71">
        <f>0</f>
        <v>0</v>
      </c>
      <c r="AC25" s="71">
        <f>0</f>
        <v>0</v>
      </c>
      <c r="AD25" s="71">
        <f>0</f>
        <v>0</v>
      </c>
      <c r="AE25" s="71">
        <f>0</f>
        <v>0</v>
      </c>
      <c r="AF25" s="71">
        <f>0</f>
        <v>0</v>
      </c>
      <c r="AG25" s="71">
        <f>0</f>
        <v>0</v>
      </c>
      <c r="AH25" s="71">
        <f>0</f>
        <v>0</v>
      </c>
      <c r="AI25" s="71">
        <f>0</f>
        <v>0</v>
      </c>
      <c r="AJ25" s="71">
        <f>0</f>
        <v>0</v>
      </c>
      <c r="AK25" s="71">
        <f>0</f>
        <v>0</v>
      </c>
      <c r="AL25" s="71">
        <f>0</f>
        <v>0</v>
      </c>
      <c r="AM25" s="71">
        <f>0</f>
        <v>0</v>
      </c>
      <c r="AN25" s="71">
        <f>0</f>
        <v>0</v>
      </c>
      <c r="AO25" s="71">
        <f>0</f>
        <v>0</v>
      </c>
      <c r="AP25" s="71">
        <f>0</f>
        <v>0</v>
      </c>
      <c r="AQ25" s="71">
        <f>0</f>
        <v>0</v>
      </c>
      <c r="AR25" s="71">
        <f>0</f>
        <v>0</v>
      </c>
      <c r="AS25" s="71">
        <f>0</f>
        <v>0</v>
      </c>
      <c r="AT25" s="71">
        <f>0</f>
        <v>0</v>
      </c>
      <c r="AU25" s="71">
        <f>0</f>
        <v>0</v>
      </c>
      <c r="AV25" s="71">
        <f>0</f>
        <v>0</v>
      </c>
      <c r="AW25" s="71">
        <f>0</f>
        <v>0</v>
      </c>
      <c r="AX25" s="71">
        <f>0</f>
        <v>0</v>
      </c>
      <c r="AY25" s="71">
        <f>0</f>
        <v>0</v>
      </c>
      <c r="AZ25" s="71">
        <f>0</f>
        <v>0</v>
      </c>
      <c r="BA25" s="72">
        <f>0</f>
        <v>0</v>
      </c>
    </row>
    <row r="26" spans="1:54" outlineLevel="2">
      <c r="A26" s="244" t="s">
        <v>27</v>
      </c>
      <c r="B26" s="244" t="s">
        <v>27</v>
      </c>
      <c r="C26" s="65" t="s">
        <v>41</v>
      </c>
      <c r="D26" s="85" t="s">
        <v>360</v>
      </c>
      <c r="E26" s="109" t="s">
        <v>88</v>
      </c>
      <c r="F26" s="103">
        <f>529815.71</f>
        <v>529815.71</v>
      </c>
      <c r="G26" s="103">
        <f>508206.82</f>
        <v>508206.82</v>
      </c>
      <c r="H26" s="103">
        <f>477423.92</f>
        <v>477423.92</v>
      </c>
      <c r="I26" s="103">
        <f>479123.18</f>
        <v>479123.18</v>
      </c>
      <c r="J26" s="103">
        <f>430321.95</f>
        <v>430321.95</v>
      </c>
      <c r="K26" s="68">
        <f>409548.06</f>
        <v>409548.06</v>
      </c>
      <c r="L26" s="68">
        <f>320000</f>
        <v>320000</v>
      </c>
      <c r="M26" s="69">
        <f>281727.4</f>
        <v>281727.40000000002</v>
      </c>
      <c r="N26" s="70">
        <f>350000</f>
        <v>350000</v>
      </c>
      <c r="O26" s="71">
        <f>566288</f>
        <v>566288</v>
      </c>
      <c r="P26" s="71">
        <f>503844</f>
        <v>503844</v>
      </c>
      <c r="Q26" s="71">
        <f>441400</f>
        <v>441400</v>
      </c>
      <c r="R26" s="71">
        <f>377600</f>
        <v>377600</v>
      </c>
      <c r="S26" s="71">
        <f>313800</f>
        <v>313800</v>
      </c>
      <c r="T26" s="71">
        <f>257975</f>
        <v>257975</v>
      </c>
      <c r="U26" s="71">
        <f>214125</f>
        <v>214125</v>
      </c>
      <c r="V26" s="71">
        <f>176275</f>
        <v>176275</v>
      </c>
      <c r="W26" s="71">
        <f>140425</f>
        <v>140425</v>
      </c>
      <c r="X26" s="71">
        <f>91875</f>
        <v>91875</v>
      </c>
      <c r="Y26" s="71">
        <f>30625</f>
        <v>30625</v>
      </c>
      <c r="Z26" s="71">
        <f>0</f>
        <v>0</v>
      </c>
      <c r="AA26" s="71">
        <f>0</f>
        <v>0</v>
      </c>
      <c r="AB26" s="71">
        <f>0</f>
        <v>0</v>
      </c>
      <c r="AC26" s="71">
        <f>0</f>
        <v>0</v>
      </c>
      <c r="AD26" s="71">
        <f>0</f>
        <v>0</v>
      </c>
      <c r="AE26" s="71">
        <f>0</f>
        <v>0</v>
      </c>
      <c r="AF26" s="71">
        <f>0</f>
        <v>0</v>
      </c>
      <c r="AG26" s="71">
        <f>0</f>
        <v>0</v>
      </c>
      <c r="AH26" s="71">
        <f>0</f>
        <v>0</v>
      </c>
      <c r="AI26" s="71">
        <f>0</f>
        <v>0</v>
      </c>
      <c r="AJ26" s="71">
        <f>0</f>
        <v>0</v>
      </c>
      <c r="AK26" s="71">
        <f>0</f>
        <v>0</v>
      </c>
      <c r="AL26" s="71">
        <f>0</f>
        <v>0</v>
      </c>
      <c r="AM26" s="71">
        <f>0</f>
        <v>0</v>
      </c>
      <c r="AN26" s="71">
        <f>0</f>
        <v>0</v>
      </c>
      <c r="AO26" s="71">
        <f>0</f>
        <v>0</v>
      </c>
      <c r="AP26" s="71">
        <f>0</f>
        <v>0</v>
      </c>
      <c r="AQ26" s="71">
        <f>0</f>
        <v>0</v>
      </c>
      <c r="AR26" s="71">
        <f>0</f>
        <v>0</v>
      </c>
      <c r="AS26" s="71">
        <f>0</f>
        <v>0</v>
      </c>
      <c r="AT26" s="71">
        <f>0</f>
        <v>0</v>
      </c>
      <c r="AU26" s="71">
        <f>0</f>
        <v>0</v>
      </c>
      <c r="AV26" s="71">
        <f>0</f>
        <v>0</v>
      </c>
      <c r="AW26" s="71">
        <f>0</f>
        <v>0</v>
      </c>
      <c r="AX26" s="71">
        <f>0</f>
        <v>0</v>
      </c>
      <c r="AY26" s="71">
        <f>0</f>
        <v>0</v>
      </c>
      <c r="AZ26" s="71">
        <f>0</f>
        <v>0</v>
      </c>
      <c r="BA26" s="72">
        <f>0</f>
        <v>0</v>
      </c>
    </row>
    <row r="27" spans="1:54" ht="36" outlineLevel="3">
      <c r="A27" s="244" t="s">
        <v>27</v>
      </c>
      <c r="B27" s="244" t="s">
        <v>27</v>
      </c>
      <c r="C27" s="65" t="s">
        <v>42</v>
      </c>
      <c r="D27" s="85"/>
      <c r="E27" s="458" t="s">
        <v>172</v>
      </c>
      <c r="F27" s="103">
        <f>0</f>
        <v>0</v>
      </c>
      <c r="G27" s="103">
        <f>0</f>
        <v>0</v>
      </c>
      <c r="H27" s="103">
        <f>0</f>
        <v>0</v>
      </c>
      <c r="I27" s="103">
        <f>0</f>
        <v>0</v>
      </c>
      <c r="J27" s="103">
        <f>0</f>
        <v>0</v>
      </c>
      <c r="K27" s="68">
        <f>0</f>
        <v>0</v>
      </c>
      <c r="L27" s="68">
        <f>0</f>
        <v>0</v>
      </c>
      <c r="M27" s="69">
        <f>0</f>
        <v>0</v>
      </c>
      <c r="N27" s="70">
        <f>0</f>
        <v>0</v>
      </c>
      <c r="O27" s="71">
        <f>0</f>
        <v>0</v>
      </c>
      <c r="P27" s="71">
        <f>0</f>
        <v>0</v>
      </c>
      <c r="Q27" s="71">
        <f>0</f>
        <v>0</v>
      </c>
      <c r="R27" s="71">
        <f>0</f>
        <v>0</v>
      </c>
      <c r="S27" s="71">
        <f>0</f>
        <v>0</v>
      </c>
      <c r="T27" s="71">
        <f>0</f>
        <v>0</v>
      </c>
      <c r="U27" s="71">
        <f>0</f>
        <v>0</v>
      </c>
      <c r="V27" s="71">
        <f>0</f>
        <v>0</v>
      </c>
      <c r="W27" s="71">
        <f>0</f>
        <v>0</v>
      </c>
      <c r="X27" s="71">
        <f>0</f>
        <v>0</v>
      </c>
      <c r="Y27" s="71">
        <f>0</f>
        <v>0</v>
      </c>
      <c r="Z27" s="71">
        <f>0</f>
        <v>0</v>
      </c>
      <c r="AA27" s="71">
        <f>0</f>
        <v>0</v>
      </c>
      <c r="AB27" s="71">
        <f>0</f>
        <v>0</v>
      </c>
      <c r="AC27" s="71">
        <f>0</f>
        <v>0</v>
      </c>
      <c r="AD27" s="71">
        <f>0</f>
        <v>0</v>
      </c>
      <c r="AE27" s="71">
        <f>0</f>
        <v>0</v>
      </c>
      <c r="AF27" s="71">
        <f>0</f>
        <v>0</v>
      </c>
      <c r="AG27" s="71">
        <f>0</f>
        <v>0</v>
      </c>
      <c r="AH27" s="71">
        <f>0</f>
        <v>0</v>
      </c>
      <c r="AI27" s="71">
        <f>0</f>
        <v>0</v>
      </c>
      <c r="AJ27" s="71">
        <f>0</f>
        <v>0</v>
      </c>
      <c r="AK27" s="71">
        <f>0</f>
        <v>0</v>
      </c>
      <c r="AL27" s="71">
        <f>0</f>
        <v>0</v>
      </c>
      <c r="AM27" s="71">
        <f>0</f>
        <v>0</v>
      </c>
      <c r="AN27" s="71">
        <f>0</f>
        <v>0</v>
      </c>
      <c r="AO27" s="71">
        <f>0</f>
        <v>0</v>
      </c>
      <c r="AP27" s="71">
        <f>0</f>
        <v>0</v>
      </c>
      <c r="AQ27" s="71">
        <f>0</f>
        <v>0</v>
      </c>
      <c r="AR27" s="71">
        <f>0</f>
        <v>0</v>
      </c>
      <c r="AS27" s="71">
        <f>0</f>
        <v>0</v>
      </c>
      <c r="AT27" s="71">
        <f>0</f>
        <v>0</v>
      </c>
      <c r="AU27" s="71">
        <f>0</f>
        <v>0</v>
      </c>
      <c r="AV27" s="71">
        <f>0</f>
        <v>0</v>
      </c>
      <c r="AW27" s="71">
        <f>0</f>
        <v>0</v>
      </c>
      <c r="AX27" s="71">
        <f>0</f>
        <v>0</v>
      </c>
      <c r="AY27" s="71">
        <f>0</f>
        <v>0</v>
      </c>
      <c r="AZ27" s="71">
        <f>0</f>
        <v>0</v>
      </c>
      <c r="BA27" s="72">
        <f>0</f>
        <v>0</v>
      </c>
    </row>
    <row r="28" spans="1:54" s="57" customFormat="1" ht="24" outlineLevel="3">
      <c r="A28" s="244" t="s">
        <v>27</v>
      </c>
      <c r="B28" s="244" t="s">
        <v>27</v>
      </c>
      <c r="C28" s="65" t="s">
        <v>270</v>
      </c>
      <c r="D28" s="85"/>
      <c r="E28" s="458" t="s">
        <v>317</v>
      </c>
      <c r="F28" s="103">
        <f>0</f>
        <v>0</v>
      </c>
      <c r="G28" s="103">
        <f>0</f>
        <v>0</v>
      </c>
      <c r="H28" s="103">
        <f>0</f>
        <v>0</v>
      </c>
      <c r="I28" s="103">
        <f>0</f>
        <v>0</v>
      </c>
      <c r="J28" s="103">
        <f>0</f>
        <v>0</v>
      </c>
      <c r="K28" s="68">
        <f>0</f>
        <v>0</v>
      </c>
      <c r="L28" s="68">
        <f>0</f>
        <v>0</v>
      </c>
      <c r="M28" s="69">
        <f>0</f>
        <v>0</v>
      </c>
      <c r="N28" s="70">
        <f>0</f>
        <v>0</v>
      </c>
      <c r="O28" s="71">
        <f>0</f>
        <v>0</v>
      </c>
      <c r="P28" s="71">
        <f>0</f>
        <v>0</v>
      </c>
      <c r="Q28" s="71">
        <f>0</f>
        <v>0</v>
      </c>
      <c r="R28" s="71">
        <f>0</f>
        <v>0</v>
      </c>
      <c r="S28" s="71">
        <f>0</f>
        <v>0</v>
      </c>
      <c r="T28" s="71">
        <f>0</f>
        <v>0</v>
      </c>
      <c r="U28" s="71">
        <f>0</f>
        <v>0</v>
      </c>
      <c r="V28" s="71">
        <f>0</f>
        <v>0</v>
      </c>
      <c r="W28" s="71">
        <f>0</f>
        <v>0</v>
      </c>
      <c r="X28" s="71">
        <f>0</f>
        <v>0</v>
      </c>
      <c r="Y28" s="71">
        <f>0</f>
        <v>0</v>
      </c>
      <c r="Z28" s="71">
        <f>0</f>
        <v>0</v>
      </c>
      <c r="AA28" s="71">
        <f>0</f>
        <v>0</v>
      </c>
      <c r="AB28" s="71">
        <f>0</f>
        <v>0</v>
      </c>
      <c r="AC28" s="71">
        <f>0</f>
        <v>0</v>
      </c>
      <c r="AD28" s="71">
        <f>0</f>
        <v>0</v>
      </c>
      <c r="AE28" s="71">
        <f>0</f>
        <v>0</v>
      </c>
      <c r="AF28" s="71">
        <f>0</f>
        <v>0</v>
      </c>
      <c r="AG28" s="71">
        <f>0</f>
        <v>0</v>
      </c>
      <c r="AH28" s="71">
        <f>0</f>
        <v>0</v>
      </c>
      <c r="AI28" s="71">
        <f>0</f>
        <v>0</v>
      </c>
      <c r="AJ28" s="71">
        <f>0</f>
        <v>0</v>
      </c>
      <c r="AK28" s="71">
        <f>0</f>
        <v>0</v>
      </c>
      <c r="AL28" s="71">
        <f>0</f>
        <v>0</v>
      </c>
      <c r="AM28" s="71">
        <f>0</f>
        <v>0</v>
      </c>
      <c r="AN28" s="71">
        <f>0</f>
        <v>0</v>
      </c>
      <c r="AO28" s="71">
        <f>0</f>
        <v>0</v>
      </c>
      <c r="AP28" s="71">
        <f>0</f>
        <v>0</v>
      </c>
      <c r="AQ28" s="71">
        <f>0</f>
        <v>0</v>
      </c>
      <c r="AR28" s="71">
        <f>0</f>
        <v>0</v>
      </c>
      <c r="AS28" s="71">
        <f>0</f>
        <v>0</v>
      </c>
      <c r="AT28" s="71">
        <f>0</f>
        <v>0</v>
      </c>
      <c r="AU28" s="71">
        <f>0</f>
        <v>0</v>
      </c>
      <c r="AV28" s="71">
        <f>0</f>
        <v>0</v>
      </c>
      <c r="AW28" s="71">
        <f>0</f>
        <v>0</v>
      </c>
      <c r="AX28" s="71">
        <f>0</f>
        <v>0</v>
      </c>
      <c r="AY28" s="71">
        <f>0</f>
        <v>0</v>
      </c>
      <c r="AZ28" s="71">
        <f>0</f>
        <v>0</v>
      </c>
      <c r="BA28" s="72">
        <f>0</f>
        <v>0</v>
      </c>
    </row>
    <row r="29" spans="1:54" s="246" customFormat="1" ht="24" outlineLevel="3">
      <c r="A29" s="244" t="s">
        <v>27</v>
      </c>
      <c r="B29" s="244" t="s">
        <v>27</v>
      </c>
      <c r="C29" s="65" t="s">
        <v>582</v>
      </c>
      <c r="D29" s="85"/>
      <c r="E29" s="458" t="s">
        <v>644</v>
      </c>
      <c r="F29" s="103">
        <f>0</f>
        <v>0</v>
      </c>
      <c r="G29" s="103">
        <f>0</f>
        <v>0</v>
      </c>
      <c r="H29" s="103">
        <f>0</f>
        <v>0</v>
      </c>
      <c r="I29" s="103">
        <f>0</f>
        <v>0</v>
      </c>
      <c r="J29" s="103">
        <f>0</f>
        <v>0</v>
      </c>
      <c r="K29" s="68">
        <f>0</f>
        <v>0</v>
      </c>
      <c r="L29" s="68">
        <f>0</f>
        <v>0</v>
      </c>
      <c r="M29" s="69">
        <f>0</f>
        <v>0</v>
      </c>
      <c r="N29" s="70">
        <f>0</f>
        <v>0</v>
      </c>
      <c r="O29" s="71">
        <f>0</f>
        <v>0</v>
      </c>
      <c r="P29" s="71">
        <f>0</f>
        <v>0</v>
      </c>
      <c r="Q29" s="71">
        <f>0</f>
        <v>0</v>
      </c>
      <c r="R29" s="71">
        <f>0</f>
        <v>0</v>
      </c>
      <c r="S29" s="71">
        <f>0</f>
        <v>0</v>
      </c>
      <c r="T29" s="71">
        <f>0</f>
        <v>0</v>
      </c>
      <c r="U29" s="71">
        <f>0</f>
        <v>0</v>
      </c>
      <c r="V29" s="71">
        <f>0</f>
        <v>0</v>
      </c>
      <c r="W29" s="71">
        <f>0</f>
        <v>0</v>
      </c>
      <c r="X29" s="71">
        <f>0</f>
        <v>0</v>
      </c>
      <c r="Y29" s="71">
        <f>0</f>
        <v>0</v>
      </c>
      <c r="Z29" s="71">
        <f>0</f>
        <v>0</v>
      </c>
      <c r="AA29" s="71">
        <f>0</f>
        <v>0</v>
      </c>
      <c r="AB29" s="71">
        <f>0</f>
        <v>0</v>
      </c>
      <c r="AC29" s="71">
        <f>0</f>
        <v>0</v>
      </c>
      <c r="AD29" s="71">
        <f>0</f>
        <v>0</v>
      </c>
      <c r="AE29" s="71">
        <f>0</f>
        <v>0</v>
      </c>
      <c r="AF29" s="71">
        <f>0</f>
        <v>0</v>
      </c>
      <c r="AG29" s="71">
        <f>0</f>
        <v>0</v>
      </c>
      <c r="AH29" s="71">
        <f>0</f>
        <v>0</v>
      </c>
      <c r="AI29" s="71">
        <f>0</f>
        <v>0</v>
      </c>
      <c r="AJ29" s="71">
        <f>0</f>
        <v>0</v>
      </c>
      <c r="AK29" s="71">
        <f>0</f>
        <v>0</v>
      </c>
      <c r="AL29" s="71">
        <f>0</f>
        <v>0</v>
      </c>
      <c r="AM29" s="71">
        <f>0</f>
        <v>0</v>
      </c>
      <c r="AN29" s="71">
        <f>0</f>
        <v>0</v>
      </c>
      <c r="AO29" s="71">
        <f>0</f>
        <v>0</v>
      </c>
      <c r="AP29" s="71">
        <f>0</f>
        <v>0</v>
      </c>
      <c r="AQ29" s="71">
        <f>0</f>
        <v>0</v>
      </c>
      <c r="AR29" s="71">
        <f>0</f>
        <v>0</v>
      </c>
      <c r="AS29" s="71">
        <f>0</f>
        <v>0</v>
      </c>
      <c r="AT29" s="71">
        <f>0</f>
        <v>0</v>
      </c>
      <c r="AU29" s="71">
        <f>0</f>
        <v>0</v>
      </c>
      <c r="AV29" s="71">
        <f>0</f>
        <v>0</v>
      </c>
      <c r="AW29" s="71">
        <f>0</f>
        <v>0</v>
      </c>
      <c r="AX29" s="71">
        <f>0</f>
        <v>0</v>
      </c>
      <c r="AY29" s="71">
        <f>0</f>
        <v>0</v>
      </c>
      <c r="AZ29" s="71">
        <f>0</f>
        <v>0</v>
      </c>
      <c r="BA29" s="72">
        <f>0</f>
        <v>0</v>
      </c>
    </row>
    <row r="30" spans="1:54" s="57" customFormat="1" outlineLevel="1">
      <c r="A30" s="244" t="s">
        <v>27</v>
      </c>
      <c r="B30" s="244"/>
      <c r="C30" s="65" t="s">
        <v>54</v>
      </c>
      <c r="D30" s="85" t="s">
        <v>361</v>
      </c>
      <c r="E30" s="447" t="s">
        <v>318</v>
      </c>
      <c r="F30" s="103">
        <f>6770370.97</f>
        <v>6770370.9699999997</v>
      </c>
      <c r="G30" s="103">
        <f>8428567.98</f>
        <v>8428567.9800000004</v>
      </c>
      <c r="H30" s="103">
        <f>6638090.53</f>
        <v>6638090.5300000003</v>
      </c>
      <c r="I30" s="103">
        <f>12699810.44</f>
        <v>12699810.439999999</v>
      </c>
      <c r="J30" s="103">
        <f>14101467.33</f>
        <v>14101467.33</v>
      </c>
      <c r="K30" s="68">
        <f>15388364.12</f>
        <v>15388364.119999999</v>
      </c>
      <c r="L30" s="68">
        <f>18219988</f>
        <v>18219988</v>
      </c>
      <c r="M30" s="69">
        <f>15466635.97</f>
        <v>15466635.970000001</v>
      </c>
      <c r="N30" s="70">
        <f>26534888</f>
        <v>26534888</v>
      </c>
      <c r="O30" s="71">
        <f>23154854</f>
        <v>23154854</v>
      </c>
      <c r="P30" s="71">
        <f>1030284</f>
        <v>1030284</v>
      </c>
      <c r="Q30" s="71">
        <f>1613533</f>
        <v>1613533</v>
      </c>
      <c r="R30" s="71">
        <f>2316905</f>
        <v>2316905</v>
      </c>
      <c r="S30" s="71">
        <f>2998543</f>
        <v>2998543</v>
      </c>
      <c r="T30" s="71">
        <f>4146159</f>
        <v>4146159</v>
      </c>
      <c r="U30" s="71">
        <f>4690393</f>
        <v>4690393</v>
      </c>
      <c r="V30" s="71">
        <f>5126926</f>
        <v>5126926</v>
      </c>
      <c r="W30" s="71">
        <f>5514120</f>
        <v>5514120</v>
      </c>
      <c r="X30" s="71">
        <f>5111826</f>
        <v>5111826</v>
      </c>
      <c r="Y30" s="71">
        <f>5415107</f>
        <v>5415107</v>
      </c>
      <c r="Z30" s="71">
        <f>0</f>
        <v>0</v>
      </c>
      <c r="AA30" s="71">
        <f>0</f>
        <v>0</v>
      </c>
      <c r="AB30" s="71">
        <f>0</f>
        <v>0</v>
      </c>
      <c r="AC30" s="71">
        <f>0</f>
        <v>0</v>
      </c>
      <c r="AD30" s="71">
        <f>0</f>
        <v>0</v>
      </c>
      <c r="AE30" s="71">
        <f>0</f>
        <v>0</v>
      </c>
      <c r="AF30" s="71">
        <f>0</f>
        <v>0</v>
      </c>
      <c r="AG30" s="71">
        <f>0</f>
        <v>0</v>
      </c>
      <c r="AH30" s="71">
        <f>0</f>
        <v>0</v>
      </c>
      <c r="AI30" s="71">
        <f>0</f>
        <v>0</v>
      </c>
      <c r="AJ30" s="71">
        <f>0</f>
        <v>0</v>
      </c>
      <c r="AK30" s="71">
        <f>0</f>
        <v>0</v>
      </c>
      <c r="AL30" s="71">
        <f>0</f>
        <v>0</v>
      </c>
      <c r="AM30" s="71">
        <f>0</f>
        <v>0</v>
      </c>
      <c r="AN30" s="71">
        <f>0</f>
        <v>0</v>
      </c>
      <c r="AO30" s="71">
        <f>0</f>
        <v>0</v>
      </c>
      <c r="AP30" s="71">
        <f>0</f>
        <v>0</v>
      </c>
      <c r="AQ30" s="71">
        <f>0</f>
        <v>0</v>
      </c>
      <c r="AR30" s="71">
        <f>0</f>
        <v>0</v>
      </c>
      <c r="AS30" s="71">
        <f>0</f>
        <v>0</v>
      </c>
      <c r="AT30" s="71">
        <f>0</f>
        <v>0</v>
      </c>
      <c r="AU30" s="71">
        <f>0</f>
        <v>0</v>
      </c>
      <c r="AV30" s="71">
        <f>0</f>
        <v>0</v>
      </c>
      <c r="AW30" s="71">
        <f>0</f>
        <v>0</v>
      </c>
      <c r="AX30" s="71">
        <f>0</f>
        <v>0</v>
      </c>
      <c r="AY30" s="71">
        <f>0</f>
        <v>0</v>
      </c>
      <c r="AZ30" s="71">
        <f>0</f>
        <v>0</v>
      </c>
      <c r="BA30" s="72">
        <f>0</f>
        <v>0</v>
      </c>
    </row>
    <row r="31" spans="1:54" outlineLevel="2">
      <c r="A31" s="244"/>
      <c r="B31" s="244"/>
      <c r="C31" s="65" t="s">
        <v>271</v>
      </c>
      <c r="D31" s="85"/>
      <c r="E31" s="109" t="s">
        <v>319</v>
      </c>
      <c r="F31" s="103">
        <f>6770370.97</f>
        <v>6770370.9699999997</v>
      </c>
      <c r="G31" s="103">
        <f>8428567.98</f>
        <v>8428567.9800000004</v>
      </c>
      <c r="H31" s="103">
        <f>6638090.53</f>
        <v>6638090.5300000003</v>
      </c>
      <c r="I31" s="103">
        <f>12699810.44</f>
        <v>12699810.439999999</v>
      </c>
      <c r="J31" s="103">
        <f>14101467.33</f>
        <v>14101467.33</v>
      </c>
      <c r="K31" s="68">
        <f>15388364.12</f>
        <v>15388364.119999999</v>
      </c>
      <c r="L31" s="68">
        <f>18219988</f>
        <v>18219988</v>
      </c>
      <c r="M31" s="69">
        <f>15466635.97</f>
        <v>15466635.970000001</v>
      </c>
      <c r="N31" s="70">
        <f>25624888</f>
        <v>25624888</v>
      </c>
      <c r="O31" s="71">
        <f>23154854</f>
        <v>23154854</v>
      </c>
      <c r="P31" s="71">
        <f>1030284</f>
        <v>1030284</v>
      </c>
      <c r="Q31" s="71">
        <f>1613533</f>
        <v>1613533</v>
      </c>
      <c r="R31" s="71">
        <f>2316905</f>
        <v>2316905</v>
      </c>
      <c r="S31" s="71">
        <f>2998543</f>
        <v>2998543</v>
      </c>
      <c r="T31" s="71">
        <f>4146159</f>
        <v>4146159</v>
      </c>
      <c r="U31" s="71">
        <f>4690393</f>
        <v>4690393</v>
      </c>
      <c r="V31" s="71">
        <f>5126926</f>
        <v>5126926</v>
      </c>
      <c r="W31" s="71">
        <f>5514120</f>
        <v>5514120</v>
      </c>
      <c r="X31" s="71">
        <f>5111826</f>
        <v>5111826</v>
      </c>
      <c r="Y31" s="71">
        <f>5415107</f>
        <v>5415107</v>
      </c>
      <c r="Z31" s="71">
        <f>0</f>
        <v>0</v>
      </c>
      <c r="AA31" s="71">
        <f>0</f>
        <v>0</v>
      </c>
      <c r="AB31" s="71">
        <f>0</f>
        <v>0</v>
      </c>
      <c r="AC31" s="71">
        <f>0</f>
        <v>0</v>
      </c>
      <c r="AD31" s="71">
        <f>0</f>
        <v>0</v>
      </c>
      <c r="AE31" s="71">
        <f>0</f>
        <v>0</v>
      </c>
      <c r="AF31" s="71">
        <f>0</f>
        <v>0</v>
      </c>
      <c r="AG31" s="71">
        <f>0</f>
        <v>0</v>
      </c>
      <c r="AH31" s="71">
        <f>0</f>
        <v>0</v>
      </c>
      <c r="AI31" s="71">
        <f>0</f>
        <v>0</v>
      </c>
      <c r="AJ31" s="71">
        <f>0</f>
        <v>0</v>
      </c>
      <c r="AK31" s="71">
        <f>0</f>
        <v>0</v>
      </c>
      <c r="AL31" s="71">
        <f>0</f>
        <v>0</v>
      </c>
      <c r="AM31" s="71">
        <f>0</f>
        <v>0</v>
      </c>
      <c r="AN31" s="71">
        <f>0</f>
        <v>0</v>
      </c>
      <c r="AO31" s="71">
        <f>0</f>
        <v>0</v>
      </c>
      <c r="AP31" s="71">
        <f>0</f>
        <v>0</v>
      </c>
      <c r="AQ31" s="71">
        <f>0</f>
        <v>0</v>
      </c>
      <c r="AR31" s="71">
        <f>0</f>
        <v>0</v>
      </c>
      <c r="AS31" s="71">
        <f>0</f>
        <v>0</v>
      </c>
      <c r="AT31" s="71">
        <f>0</f>
        <v>0</v>
      </c>
      <c r="AU31" s="71">
        <f>0</f>
        <v>0</v>
      </c>
      <c r="AV31" s="71">
        <f>0</f>
        <v>0</v>
      </c>
      <c r="AW31" s="71">
        <f>0</f>
        <v>0</v>
      </c>
      <c r="AX31" s="71">
        <f>0</f>
        <v>0</v>
      </c>
      <c r="AY31" s="71">
        <f>0</f>
        <v>0</v>
      </c>
      <c r="AZ31" s="71">
        <f>0</f>
        <v>0</v>
      </c>
      <c r="BA31" s="72">
        <f>0</f>
        <v>0</v>
      </c>
    </row>
    <row r="32" spans="1:54" ht="15" outlineLevel="2">
      <c r="A32" s="244"/>
      <c r="B32" s="244"/>
      <c r="C32" s="65" t="s">
        <v>272</v>
      </c>
      <c r="D32" s="85"/>
      <c r="E32" s="458" t="s">
        <v>320</v>
      </c>
      <c r="F32" s="103">
        <f>100000</f>
        <v>100000</v>
      </c>
      <c r="G32" s="103">
        <f>52000</f>
        <v>52000</v>
      </c>
      <c r="H32" s="103">
        <f>0</f>
        <v>0</v>
      </c>
      <c r="I32" s="103">
        <f>224021</f>
        <v>224021</v>
      </c>
      <c r="J32" s="103">
        <f>0</f>
        <v>0</v>
      </c>
      <c r="K32" s="68">
        <f>0</f>
        <v>0</v>
      </c>
      <c r="L32" s="68">
        <f>10000</f>
        <v>10000</v>
      </c>
      <c r="M32" s="69">
        <f>14487.04</f>
        <v>14487.04</v>
      </c>
      <c r="N32" s="70">
        <f>910000</f>
        <v>910000</v>
      </c>
      <c r="O32" s="71">
        <f>0</f>
        <v>0</v>
      </c>
      <c r="P32" s="71">
        <f>0</f>
        <v>0</v>
      </c>
      <c r="Q32" s="71">
        <f>0</f>
        <v>0</v>
      </c>
      <c r="R32" s="71">
        <f>0</f>
        <v>0</v>
      </c>
      <c r="S32" s="71">
        <f>0</f>
        <v>0</v>
      </c>
      <c r="T32" s="71">
        <f>0</f>
        <v>0</v>
      </c>
      <c r="U32" s="71">
        <f>0</f>
        <v>0</v>
      </c>
      <c r="V32" s="71">
        <f>0</f>
        <v>0</v>
      </c>
      <c r="W32" s="71">
        <f>0</f>
        <v>0</v>
      </c>
      <c r="X32" s="71">
        <f>0</f>
        <v>0</v>
      </c>
      <c r="Y32" s="71">
        <f>0</f>
        <v>0</v>
      </c>
      <c r="Z32" s="71">
        <f>0</f>
        <v>0</v>
      </c>
      <c r="AA32" s="71">
        <f>0</f>
        <v>0</v>
      </c>
      <c r="AB32" s="71">
        <f>0</f>
        <v>0</v>
      </c>
      <c r="AC32" s="71">
        <f>0</f>
        <v>0</v>
      </c>
      <c r="AD32" s="71">
        <f>0</f>
        <v>0</v>
      </c>
      <c r="AE32" s="71">
        <f>0</f>
        <v>0</v>
      </c>
      <c r="AF32" s="71">
        <f>0</f>
        <v>0</v>
      </c>
      <c r="AG32" s="71">
        <f>0</f>
        <v>0</v>
      </c>
      <c r="AH32" s="71">
        <f>0</f>
        <v>0</v>
      </c>
      <c r="AI32" s="71">
        <f>0</f>
        <v>0</v>
      </c>
      <c r="AJ32" s="71">
        <f>0</f>
        <v>0</v>
      </c>
      <c r="AK32" s="71">
        <f>0</f>
        <v>0</v>
      </c>
      <c r="AL32" s="71">
        <f>0</f>
        <v>0</v>
      </c>
      <c r="AM32" s="71">
        <f>0</f>
        <v>0</v>
      </c>
      <c r="AN32" s="71">
        <f>0</f>
        <v>0</v>
      </c>
      <c r="AO32" s="71">
        <f>0</f>
        <v>0</v>
      </c>
      <c r="AP32" s="71">
        <f>0</f>
        <v>0</v>
      </c>
      <c r="AQ32" s="71">
        <f>0</f>
        <v>0</v>
      </c>
      <c r="AR32" s="71">
        <f>0</f>
        <v>0</v>
      </c>
      <c r="AS32" s="71">
        <f>0</f>
        <v>0</v>
      </c>
      <c r="AT32" s="71">
        <f>0</f>
        <v>0</v>
      </c>
      <c r="AU32" s="71">
        <f>0</f>
        <v>0</v>
      </c>
      <c r="AV32" s="71">
        <f>0</f>
        <v>0</v>
      </c>
      <c r="AW32" s="71">
        <f>0</f>
        <v>0</v>
      </c>
      <c r="AX32" s="71">
        <f>0</f>
        <v>0</v>
      </c>
      <c r="AY32" s="71">
        <f>0</f>
        <v>0</v>
      </c>
      <c r="AZ32" s="71">
        <f>0</f>
        <v>0</v>
      </c>
      <c r="BA32" s="72">
        <f>0</f>
        <v>0</v>
      </c>
      <c r="BB32" s="21"/>
    </row>
    <row r="33" spans="1:54" ht="15">
      <c r="A33" s="244" t="s">
        <v>27</v>
      </c>
      <c r="B33" s="244"/>
      <c r="C33" s="22">
        <v>3</v>
      </c>
      <c r="D33" s="85"/>
      <c r="E33" s="111" t="s">
        <v>20</v>
      </c>
      <c r="F33" s="104">
        <f>-748210.32</f>
        <v>-748210.32</v>
      </c>
      <c r="G33" s="104">
        <f>1982288.52</f>
        <v>1982288.52</v>
      </c>
      <c r="H33" s="104">
        <f>1153140.6</f>
        <v>1153140.6000000001</v>
      </c>
      <c r="I33" s="104">
        <f>775608.56</f>
        <v>775608.56</v>
      </c>
      <c r="J33" s="104">
        <f>5207119.07</f>
        <v>5207119.07</v>
      </c>
      <c r="K33" s="66">
        <f>3799751.37</f>
        <v>3799751.37</v>
      </c>
      <c r="L33" s="66">
        <f>-10500000</f>
        <v>-10500000</v>
      </c>
      <c r="M33" s="67">
        <f>4594091.35</f>
        <v>4594091.3499999996</v>
      </c>
      <c r="N33" s="23">
        <f>-14662538</f>
        <v>-14662538</v>
      </c>
      <c r="O33" s="24">
        <f>1000000</f>
        <v>1000000</v>
      </c>
      <c r="P33" s="24">
        <f>1915000</f>
        <v>1915000</v>
      </c>
      <c r="Q33" s="24">
        <f t="shared" ref="Q33:S34" si="5">2000000</f>
        <v>2000000</v>
      </c>
      <c r="R33" s="24">
        <f t="shared" si="5"/>
        <v>2000000</v>
      </c>
      <c r="S33" s="24">
        <f t="shared" si="5"/>
        <v>2000000</v>
      </c>
      <c r="T33" s="24">
        <f t="shared" ref="T33:W34" si="6">1500000</f>
        <v>1500000</v>
      </c>
      <c r="U33" s="24">
        <f t="shared" si="6"/>
        <v>1500000</v>
      </c>
      <c r="V33" s="24">
        <f t="shared" si="6"/>
        <v>1500000</v>
      </c>
      <c r="W33" s="24">
        <f t="shared" si="6"/>
        <v>1500000</v>
      </c>
      <c r="X33" s="24">
        <f>1750000</f>
        <v>1750000</v>
      </c>
      <c r="Y33" s="24">
        <f>1750000</f>
        <v>1750000</v>
      </c>
      <c r="Z33" s="24">
        <f>0</f>
        <v>0</v>
      </c>
      <c r="AA33" s="24">
        <f>0</f>
        <v>0</v>
      </c>
      <c r="AB33" s="24">
        <f>0</f>
        <v>0</v>
      </c>
      <c r="AC33" s="24">
        <f>0</f>
        <v>0</v>
      </c>
      <c r="AD33" s="24">
        <f>0</f>
        <v>0</v>
      </c>
      <c r="AE33" s="24">
        <f>0</f>
        <v>0</v>
      </c>
      <c r="AF33" s="24">
        <f>0</f>
        <v>0</v>
      </c>
      <c r="AG33" s="24">
        <f>0</f>
        <v>0</v>
      </c>
      <c r="AH33" s="24">
        <f>0</f>
        <v>0</v>
      </c>
      <c r="AI33" s="24">
        <f>0</f>
        <v>0</v>
      </c>
      <c r="AJ33" s="24">
        <f>0</f>
        <v>0</v>
      </c>
      <c r="AK33" s="24">
        <f>0</f>
        <v>0</v>
      </c>
      <c r="AL33" s="24">
        <f>0</f>
        <v>0</v>
      </c>
      <c r="AM33" s="24">
        <f>0</f>
        <v>0</v>
      </c>
      <c r="AN33" s="24">
        <f>0</f>
        <v>0</v>
      </c>
      <c r="AO33" s="24">
        <f>0</f>
        <v>0</v>
      </c>
      <c r="AP33" s="24">
        <f>0</f>
        <v>0</v>
      </c>
      <c r="AQ33" s="24">
        <f>0</f>
        <v>0</v>
      </c>
      <c r="AR33" s="24">
        <f>0</f>
        <v>0</v>
      </c>
      <c r="AS33" s="24">
        <f>0</f>
        <v>0</v>
      </c>
      <c r="AT33" s="24">
        <f>0</f>
        <v>0</v>
      </c>
      <c r="AU33" s="24">
        <f>0</f>
        <v>0</v>
      </c>
      <c r="AV33" s="24">
        <f>0</f>
        <v>0</v>
      </c>
      <c r="AW33" s="24">
        <f>0</f>
        <v>0</v>
      </c>
      <c r="AX33" s="24">
        <f>0</f>
        <v>0</v>
      </c>
      <c r="AY33" s="24">
        <f>0</f>
        <v>0</v>
      </c>
      <c r="AZ33" s="24">
        <f>0</f>
        <v>0</v>
      </c>
      <c r="BA33" s="25">
        <f>0</f>
        <v>0</v>
      </c>
      <c r="BB33" s="21"/>
    </row>
    <row r="34" spans="1:54" ht="24" outlineLevel="1">
      <c r="A34" s="244"/>
      <c r="B34" s="244"/>
      <c r="C34" s="65" t="s">
        <v>299</v>
      </c>
      <c r="D34" s="85"/>
      <c r="E34" s="447" t="s">
        <v>321</v>
      </c>
      <c r="F34" s="103">
        <f>0</f>
        <v>0</v>
      </c>
      <c r="G34" s="103">
        <f>0</f>
        <v>0</v>
      </c>
      <c r="H34" s="103">
        <f>0</f>
        <v>0</v>
      </c>
      <c r="I34" s="103">
        <f>0</f>
        <v>0</v>
      </c>
      <c r="J34" s="103">
        <f>0</f>
        <v>0</v>
      </c>
      <c r="K34" s="68">
        <f>0</f>
        <v>0</v>
      </c>
      <c r="L34" s="68">
        <f>0</f>
        <v>0</v>
      </c>
      <c r="M34" s="69">
        <f>2000000</f>
        <v>2000000</v>
      </c>
      <c r="N34" s="70">
        <f>0</f>
        <v>0</v>
      </c>
      <c r="O34" s="71">
        <f>1000000</f>
        <v>1000000</v>
      </c>
      <c r="P34" s="71">
        <f>1915000</f>
        <v>1915000</v>
      </c>
      <c r="Q34" s="71">
        <f t="shared" si="5"/>
        <v>2000000</v>
      </c>
      <c r="R34" s="71">
        <f t="shared" si="5"/>
        <v>2000000</v>
      </c>
      <c r="S34" s="71">
        <f t="shared" si="5"/>
        <v>2000000</v>
      </c>
      <c r="T34" s="71">
        <f t="shared" si="6"/>
        <v>1500000</v>
      </c>
      <c r="U34" s="71">
        <f t="shared" si="6"/>
        <v>1500000</v>
      </c>
      <c r="V34" s="71">
        <f t="shared" si="6"/>
        <v>1500000</v>
      </c>
      <c r="W34" s="71">
        <f t="shared" si="6"/>
        <v>1500000</v>
      </c>
      <c r="X34" s="71">
        <f>1750000</f>
        <v>1750000</v>
      </c>
      <c r="Y34" s="71">
        <f>1750000</f>
        <v>1750000</v>
      </c>
      <c r="Z34" s="71">
        <f>0</f>
        <v>0</v>
      </c>
      <c r="AA34" s="71">
        <f>0</f>
        <v>0</v>
      </c>
      <c r="AB34" s="71">
        <f>0</f>
        <v>0</v>
      </c>
      <c r="AC34" s="71">
        <f>0</f>
        <v>0</v>
      </c>
      <c r="AD34" s="71">
        <f>0</f>
        <v>0</v>
      </c>
      <c r="AE34" s="71">
        <f>0</f>
        <v>0</v>
      </c>
      <c r="AF34" s="71">
        <f>0</f>
        <v>0</v>
      </c>
      <c r="AG34" s="71">
        <f>0</f>
        <v>0</v>
      </c>
      <c r="AH34" s="71">
        <f>0</f>
        <v>0</v>
      </c>
      <c r="AI34" s="71">
        <f>0</f>
        <v>0</v>
      </c>
      <c r="AJ34" s="71">
        <f>0</f>
        <v>0</v>
      </c>
      <c r="AK34" s="71">
        <f>0</f>
        <v>0</v>
      </c>
      <c r="AL34" s="71">
        <f>0</f>
        <v>0</v>
      </c>
      <c r="AM34" s="71">
        <f>0</f>
        <v>0</v>
      </c>
      <c r="AN34" s="71">
        <f>0</f>
        <v>0</v>
      </c>
      <c r="AO34" s="71">
        <f>0</f>
        <v>0</v>
      </c>
      <c r="AP34" s="71">
        <f>0</f>
        <v>0</v>
      </c>
      <c r="AQ34" s="71">
        <f>0</f>
        <v>0</v>
      </c>
      <c r="AR34" s="71">
        <f>0</f>
        <v>0</v>
      </c>
      <c r="AS34" s="71">
        <f>0</f>
        <v>0</v>
      </c>
      <c r="AT34" s="71">
        <f>0</f>
        <v>0</v>
      </c>
      <c r="AU34" s="71">
        <f>0</f>
        <v>0</v>
      </c>
      <c r="AV34" s="71">
        <f>0</f>
        <v>0</v>
      </c>
      <c r="AW34" s="71">
        <f>0</f>
        <v>0</v>
      </c>
      <c r="AX34" s="71">
        <f>0</f>
        <v>0</v>
      </c>
      <c r="AY34" s="71">
        <f>0</f>
        <v>0</v>
      </c>
      <c r="AZ34" s="71">
        <f>0</f>
        <v>0</v>
      </c>
      <c r="BA34" s="72">
        <f>0</f>
        <v>0</v>
      </c>
    </row>
    <row r="35" spans="1:54">
      <c r="A35" s="244" t="s">
        <v>27</v>
      </c>
      <c r="B35" s="244"/>
      <c r="C35" s="22">
        <v>4</v>
      </c>
      <c r="D35" s="85"/>
      <c r="E35" s="111" t="s">
        <v>21</v>
      </c>
      <c r="F35" s="104">
        <f>0</f>
        <v>0</v>
      </c>
      <c r="G35" s="104">
        <f>0</f>
        <v>0</v>
      </c>
      <c r="H35" s="104">
        <f>0</f>
        <v>0</v>
      </c>
      <c r="I35" s="104">
        <f>0</f>
        <v>0</v>
      </c>
      <c r="J35" s="104">
        <f>1699428.56</f>
        <v>1699428.56</v>
      </c>
      <c r="K35" s="66">
        <f>6906547.63</f>
        <v>6906547.6299999999</v>
      </c>
      <c r="L35" s="66">
        <f>12590000</f>
        <v>12590000</v>
      </c>
      <c r="M35" s="67">
        <f>12631472.84</f>
        <v>12631472.84</v>
      </c>
      <c r="N35" s="23">
        <f>14662538</f>
        <v>14662538</v>
      </c>
      <c r="O35" s="24">
        <f>1000000</f>
        <v>1000000</v>
      </c>
      <c r="P35" s="24">
        <f>0</f>
        <v>0</v>
      </c>
      <c r="Q35" s="24">
        <f>0</f>
        <v>0</v>
      </c>
      <c r="R35" s="24">
        <f>0</f>
        <v>0</v>
      </c>
      <c r="S35" s="24">
        <f>0</f>
        <v>0</v>
      </c>
      <c r="T35" s="24">
        <f>0</f>
        <v>0</v>
      </c>
      <c r="U35" s="24">
        <f>0</f>
        <v>0</v>
      </c>
      <c r="V35" s="24">
        <f>0</f>
        <v>0</v>
      </c>
      <c r="W35" s="24">
        <f>0</f>
        <v>0</v>
      </c>
      <c r="X35" s="24">
        <f>0</f>
        <v>0</v>
      </c>
      <c r="Y35" s="24">
        <f>0</f>
        <v>0</v>
      </c>
      <c r="Z35" s="24">
        <f>0</f>
        <v>0</v>
      </c>
      <c r="AA35" s="24">
        <f>0</f>
        <v>0</v>
      </c>
      <c r="AB35" s="24">
        <f>0</f>
        <v>0</v>
      </c>
      <c r="AC35" s="24">
        <f>0</f>
        <v>0</v>
      </c>
      <c r="AD35" s="24">
        <f>0</f>
        <v>0</v>
      </c>
      <c r="AE35" s="24">
        <f>0</f>
        <v>0</v>
      </c>
      <c r="AF35" s="24">
        <f>0</f>
        <v>0</v>
      </c>
      <c r="AG35" s="24">
        <f>0</f>
        <v>0</v>
      </c>
      <c r="AH35" s="24">
        <f>0</f>
        <v>0</v>
      </c>
      <c r="AI35" s="24">
        <f>0</f>
        <v>0</v>
      </c>
      <c r="AJ35" s="24">
        <f>0</f>
        <v>0</v>
      </c>
      <c r="AK35" s="24">
        <f>0</f>
        <v>0</v>
      </c>
      <c r="AL35" s="24">
        <f>0</f>
        <v>0</v>
      </c>
      <c r="AM35" s="24">
        <f>0</f>
        <v>0</v>
      </c>
      <c r="AN35" s="24">
        <f>0</f>
        <v>0</v>
      </c>
      <c r="AO35" s="24">
        <f>0</f>
        <v>0</v>
      </c>
      <c r="AP35" s="24">
        <f>0</f>
        <v>0</v>
      </c>
      <c r="AQ35" s="24">
        <f>0</f>
        <v>0</v>
      </c>
      <c r="AR35" s="24">
        <f>0</f>
        <v>0</v>
      </c>
      <c r="AS35" s="24">
        <f>0</f>
        <v>0</v>
      </c>
      <c r="AT35" s="24">
        <f>0</f>
        <v>0</v>
      </c>
      <c r="AU35" s="24">
        <f>0</f>
        <v>0</v>
      </c>
      <c r="AV35" s="24">
        <f>0</f>
        <v>0</v>
      </c>
      <c r="AW35" s="24">
        <f>0</f>
        <v>0</v>
      </c>
      <c r="AX35" s="24">
        <f>0</f>
        <v>0</v>
      </c>
      <c r="AY35" s="24">
        <f>0</f>
        <v>0</v>
      </c>
      <c r="AZ35" s="24">
        <f>0</f>
        <v>0</v>
      </c>
      <c r="BA35" s="25">
        <f>0</f>
        <v>0</v>
      </c>
    </row>
    <row r="36" spans="1:54" outlineLevel="1">
      <c r="A36" s="244" t="s">
        <v>27</v>
      </c>
      <c r="B36" s="244"/>
      <c r="C36" s="65" t="s">
        <v>55</v>
      </c>
      <c r="D36" s="85"/>
      <c r="E36" s="447" t="s">
        <v>91</v>
      </c>
      <c r="F36" s="103">
        <f>0</f>
        <v>0</v>
      </c>
      <c r="G36" s="103">
        <f>0</f>
        <v>0</v>
      </c>
      <c r="H36" s="103">
        <f>0</f>
        <v>0</v>
      </c>
      <c r="I36" s="103">
        <f>0</f>
        <v>0</v>
      </c>
      <c r="J36" s="103">
        <f>0</f>
        <v>0</v>
      </c>
      <c r="K36" s="68">
        <f>0</f>
        <v>0</v>
      </c>
      <c r="L36" s="68">
        <f>2000000</f>
        <v>2000000</v>
      </c>
      <c r="M36" s="69">
        <f>2000000</f>
        <v>2000000</v>
      </c>
      <c r="N36" s="70">
        <f>6500000</f>
        <v>6500000</v>
      </c>
      <c r="O36" s="71">
        <f>1000000</f>
        <v>1000000</v>
      </c>
      <c r="P36" s="71">
        <f>0</f>
        <v>0</v>
      </c>
      <c r="Q36" s="71">
        <f>0</f>
        <v>0</v>
      </c>
      <c r="R36" s="71">
        <f>0</f>
        <v>0</v>
      </c>
      <c r="S36" s="71">
        <f>0</f>
        <v>0</v>
      </c>
      <c r="T36" s="71">
        <f>0</f>
        <v>0</v>
      </c>
      <c r="U36" s="71">
        <f>0</f>
        <v>0</v>
      </c>
      <c r="V36" s="71">
        <f>0</f>
        <v>0</v>
      </c>
      <c r="W36" s="71">
        <f>0</f>
        <v>0</v>
      </c>
      <c r="X36" s="71">
        <f>0</f>
        <v>0</v>
      </c>
      <c r="Y36" s="71">
        <f>0</f>
        <v>0</v>
      </c>
      <c r="Z36" s="71">
        <f>0</f>
        <v>0</v>
      </c>
      <c r="AA36" s="71">
        <f>0</f>
        <v>0</v>
      </c>
      <c r="AB36" s="71">
        <f>0</f>
        <v>0</v>
      </c>
      <c r="AC36" s="71">
        <f>0</f>
        <v>0</v>
      </c>
      <c r="AD36" s="71">
        <f>0</f>
        <v>0</v>
      </c>
      <c r="AE36" s="71">
        <f>0</f>
        <v>0</v>
      </c>
      <c r="AF36" s="71">
        <f>0</f>
        <v>0</v>
      </c>
      <c r="AG36" s="71">
        <f>0</f>
        <v>0</v>
      </c>
      <c r="AH36" s="71">
        <f>0</f>
        <v>0</v>
      </c>
      <c r="AI36" s="71">
        <f>0</f>
        <v>0</v>
      </c>
      <c r="AJ36" s="71">
        <f>0</f>
        <v>0</v>
      </c>
      <c r="AK36" s="71">
        <f>0</f>
        <v>0</v>
      </c>
      <c r="AL36" s="71">
        <f>0</f>
        <v>0</v>
      </c>
      <c r="AM36" s="71">
        <f>0</f>
        <v>0</v>
      </c>
      <c r="AN36" s="71">
        <f>0</f>
        <v>0</v>
      </c>
      <c r="AO36" s="71">
        <f>0</f>
        <v>0</v>
      </c>
      <c r="AP36" s="71">
        <f>0</f>
        <v>0</v>
      </c>
      <c r="AQ36" s="71">
        <f>0</f>
        <v>0</v>
      </c>
      <c r="AR36" s="71">
        <f>0</f>
        <v>0</v>
      </c>
      <c r="AS36" s="71">
        <f>0</f>
        <v>0</v>
      </c>
      <c r="AT36" s="71">
        <f>0</f>
        <v>0</v>
      </c>
      <c r="AU36" s="71">
        <f>0</f>
        <v>0</v>
      </c>
      <c r="AV36" s="71">
        <f>0</f>
        <v>0</v>
      </c>
      <c r="AW36" s="71">
        <f>0</f>
        <v>0</v>
      </c>
      <c r="AX36" s="71">
        <f>0</f>
        <v>0</v>
      </c>
      <c r="AY36" s="71">
        <f>0</f>
        <v>0</v>
      </c>
      <c r="AZ36" s="71">
        <f>0</f>
        <v>0</v>
      </c>
      <c r="BA36" s="72">
        <f>0</f>
        <v>0</v>
      </c>
    </row>
    <row r="37" spans="1:54" outlineLevel="2">
      <c r="A37" s="244" t="s">
        <v>27</v>
      </c>
      <c r="B37" s="244"/>
      <c r="C37" s="65" t="s">
        <v>43</v>
      </c>
      <c r="D37" s="85"/>
      <c r="E37" s="109" t="s">
        <v>90</v>
      </c>
      <c r="F37" s="103">
        <f>0</f>
        <v>0</v>
      </c>
      <c r="G37" s="103">
        <f>0</f>
        <v>0</v>
      </c>
      <c r="H37" s="103">
        <f>0</f>
        <v>0</v>
      </c>
      <c r="I37" s="103">
        <f>0</f>
        <v>0</v>
      </c>
      <c r="J37" s="103">
        <f>0</f>
        <v>0</v>
      </c>
      <c r="K37" s="68">
        <f>0</f>
        <v>0</v>
      </c>
      <c r="L37" s="68">
        <f>0</f>
        <v>0</v>
      </c>
      <c r="M37" s="69">
        <f>0</f>
        <v>0</v>
      </c>
      <c r="N37" s="70">
        <f>6500000</f>
        <v>6500000</v>
      </c>
      <c r="O37" s="71">
        <f>0</f>
        <v>0</v>
      </c>
      <c r="P37" s="71">
        <f>0</f>
        <v>0</v>
      </c>
      <c r="Q37" s="71">
        <f>0</f>
        <v>0</v>
      </c>
      <c r="R37" s="71">
        <f>0</f>
        <v>0</v>
      </c>
      <c r="S37" s="71">
        <f>0</f>
        <v>0</v>
      </c>
      <c r="T37" s="71">
        <f>0</f>
        <v>0</v>
      </c>
      <c r="U37" s="71">
        <f>0</f>
        <v>0</v>
      </c>
      <c r="V37" s="71">
        <f>0</f>
        <v>0</v>
      </c>
      <c r="W37" s="71">
        <f>0</f>
        <v>0</v>
      </c>
      <c r="X37" s="71">
        <f>0</f>
        <v>0</v>
      </c>
      <c r="Y37" s="71">
        <f>0</f>
        <v>0</v>
      </c>
      <c r="Z37" s="71">
        <f>0</f>
        <v>0</v>
      </c>
      <c r="AA37" s="71">
        <f>0</f>
        <v>0</v>
      </c>
      <c r="AB37" s="71">
        <f>0</f>
        <v>0</v>
      </c>
      <c r="AC37" s="71">
        <f>0</f>
        <v>0</v>
      </c>
      <c r="AD37" s="71">
        <f>0</f>
        <v>0</v>
      </c>
      <c r="AE37" s="71">
        <f>0</f>
        <v>0</v>
      </c>
      <c r="AF37" s="71">
        <f>0</f>
        <v>0</v>
      </c>
      <c r="AG37" s="71">
        <f>0</f>
        <v>0</v>
      </c>
      <c r="AH37" s="71">
        <f>0</f>
        <v>0</v>
      </c>
      <c r="AI37" s="71">
        <f>0</f>
        <v>0</v>
      </c>
      <c r="AJ37" s="71">
        <f>0</f>
        <v>0</v>
      </c>
      <c r="AK37" s="71">
        <f>0</f>
        <v>0</v>
      </c>
      <c r="AL37" s="71">
        <f>0</f>
        <v>0</v>
      </c>
      <c r="AM37" s="71">
        <f>0</f>
        <v>0</v>
      </c>
      <c r="AN37" s="71">
        <f>0</f>
        <v>0</v>
      </c>
      <c r="AO37" s="71">
        <f>0</f>
        <v>0</v>
      </c>
      <c r="AP37" s="71">
        <f>0</f>
        <v>0</v>
      </c>
      <c r="AQ37" s="71">
        <f>0</f>
        <v>0</v>
      </c>
      <c r="AR37" s="71">
        <f>0</f>
        <v>0</v>
      </c>
      <c r="AS37" s="71">
        <f>0</f>
        <v>0</v>
      </c>
      <c r="AT37" s="71">
        <f>0</f>
        <v>0</v>
      </c>
      <c r="AU37" s="71">
        <f>0</f>
        <v>0</v>
      </c>
      <c r="AV37" s="71">
        <f>0</f>
        <v>0</v>
      </c>
      <c r="AW37" s="71">
        <f>0</f>
        <v>0</v>
      </c>
      <c r="AX37" s="71">
        <f>0</f>
        <v>0</v>
      </c>
      <c r="AY37" s="71">
        <f>0</f>
        <v>0</v>
      </c>
      <c r="AZ37" s="71">
        <f>0</f>
        <v>0</v>
      </c>
      <c r="BA37" s="72">
        <f>0</f>
        <v>0</v>
      </c>
    </row>
    <row r="38" spans="1:54" outlineLevel="1">
      <c r="A38" s="244" t="s">
        <v>27</v>
      </c>
      <c r="B38" s="244"/>
      <c r="C38" s="65" t="s">
        <v>56</v>
      </c>
      <c r="D38" s="85"/>
      <c r="E38" s="447" t="s">
        <v>89</v>
      </c>
      <c r="F38" s="103">
        <f>0</f>
        <v>0</v>
      </c>
      <c r="G38" s="103">
        <f>0</f>
        <v>0</v>
      </c>
      <c r="H38" s="103">
        <f>0</f>
        <v>0</v>
      </c>
      <c r="I38" s="103">
        <f>0</f>
        <v>0</v>
      </c>
      <c r="J38" s="103">
        <f>0</f>
        <v>0</v>
      </c>
      <c r="K38" s="68">
        <f>3913269.35</f>
        <v>3913269.35</v>
      </c>
      <c r="L38" s="68">
        <f>8371249</f>
        <v>8371249</v>
      </c>
      <c r="M38" s="69">
        <f>8412721.84</f>
        <v>8412721.8399999999</v>
      </c>
      <c r="N38" s="70">
        <f>410548</f>
        <v>410548</v>
      </c>
      <c r="O38" s="71">
        <f>0</f>
        <v>0</v>
      </c>
      <c r="P38" s="71">
        <f>0</f>
        <v>0</v>
      </c>
      <c r="Q38" s="71">
        <f>0</f>
        <v>0</v>
      </c>
      <c r="R38" s="71">
        <f>0</f>
        <v>0</v>
      </c>
      <c r="S38" s="71">
        <f>0</f>
        <v>0</v>
      </c>
      <c r="T38" s="71">
        <f>0</f>
        <v>0</v>
      </c>
      <c r="U38" s="71">
        <f>0</f>
        <v>0</v>
      </c>
      <c r="V38" s="71">
        <f>0</f>
        <v>0</v>
      </c>
      <c r="W38" s="71">
        <f>0</f>
        <v>0</v>
      </c>
      <c r="X38" s="71">
        <f>0</f>
        <v>0</v>
      </c>
      <c r="Y38" s="71">
        <f>0</f>
        <v>0</v>
      </c>
      <c r="Z38" s="71">
        <f>0</f>
        <v>0</v>
      </c>
      <c r="AA38" s="71">
        <f>0</f>
        <v>0</v>
      </c>
      <c r="AB38" s="71">
        <f>0</f>
        <v>0</v>
      </c>
      <c r="AC38" s="71">
        <f>0</f>
        <v>0</v>
      </c>
      <c r="AD38" s="71">
        <f>0</f>
        <v>0</v>
      </c>
      <c r="AE38" s="71">
        <f>0</f>
        <v>0</v>
      </c>
      <c r="AF38" s="71">
        <f>0</f>
        <v>0</v>
      </c>
      <c r="AG38" s="71">
        <f>0</f>
        <v>0</v>
      </c>
      <c r="AH38" s="71">
        <f>0</f>
        <v>0</v>
      </c>
      <c r="AI38" s="71">
        <f>0</f>
        <v>0</v>
      </c>
      <c r="AJ38" s="71">
        <f>0</f>
        <v>0</v>
      </c>
      <c r="AK38" s="71">
        <f>0</f>
        <v>0</v>
      </c>
      <c r="AL38" s="71">
        <f>0</f>
        <v>0</v>
      </c>
      <c r="AM38" s="71">
        <f>0</f>
        <v>0</v>
      </c>
      <c r="AN38" s="71">
        <f>0</f>
        <v>0</v>
      </c>
      <c r="AO38" s="71">
        <f>0</f>
        <v>0</v>
      </c>
      <c r="AP38" s="71">
        <f>0</f>
        <v>0</v>
      </c>
      <c r="AQ38" s="71">
        <f>0</f>
        <v>0</v>
      </c>
      <c r="AR38" s="71">
        <f>0</f>
        <v>0</v>
      </c>
      <c r="AS38" s="71">
        <f>0</f>
        <v>0</v>
      </c>
      <c r="AT38" s="71">
        <f>0</f>
        <v>0</v>
      </c>
      <c r="AU38" s="71">
        <f>0</f>
        <v>0</v>
      </c>
      <c r="AV38" s="71">
        <f>0</f>
        <v>0</v>
      </c>
      <c r="AW38" s="71">
        <f>0</f>
        <v>0</v>
      </c>
      <c r="AX38" s="71">
        <f>0</f>
        <v>0</v>
      </c>
      <c r="AY38" s="71">
        <f>0</f>
        <v>0</v>
      </c>
      <c r="AZ38" s="71">
        <f>0</f>
        <v>0</v>
      </c>
      <c r="BA38" s="72">
        <f>0</f>
        <v>0</v>
      </c>
    </row>
    <row r="39" spans="1:54" outlineLevel="2">
      <c r="A39" s="244" t="s">
        <v>27</v>
      </c>
      <c r="B39" s="244"/>
      <c r="C39" s="65" t="s">
        <v>44</v>
      </c>
      <c r="D39" s="85"/>
      <c r="E39" s="109" t="s">
        <v>90</v>
      </c>
      <c r="F39" s="103">
        <f>0</f>
        <v>0</v>
      </c>
      <c r="G39" s="103">
        <f>0</f>
        <v>0</v>
      </c>
      <c r="H39" s="103">
        <f>0</f>
        <v>0</v>
      </c>
      <c r="I39" s="103">
        <f>0</f>
        <v>0</v>
      </c>
      <c r="J39" s="103">
        <f>0</f>
        <v>0</v>
      </c>
      <c r="K39" s="68">
        <f>0</f>
        <v>0</v>
      </c>
      <c r="L39" s="68">
        <f>8281249</f>
        <v>8281249</v>
      </c>
      <c r="M39" s="69">
        <f>0</f>
        <v>0</v>
      </c>
      <c r="N39" s="70">
        <f>410548</f>
        <v>410548</v>
      </c>
      <c r="O39" s="71">
        <f>0</f>
        <v>0</v>
      </c>
      <c r="P39" s="71">
        <f>0</f>
        <v>0</v>
      </c>
      <c r="Q39" s="71">
        <f>0</f>
        <v>0</v>
      </c>
      <c r="R39" s="71">
        <f>0</f>
        <v>0</v>
      </c>
      <c r="S39" s="71">
        <f>0</f>
        <v>0</v>
      </c>
      <c r="T39" s="71">
        <f>0</f>
        <v>0</v>
      </c>
      <c r="U39" s="71">
        <f>0</f>
        <v>0</v>
      </c>
      <c r="V39" s="71">
        <f>0</f>
        <v>0</v>
      </c>
      <c r="W39" s="71">
        <f>0</f>
        <v>0</v>
      </c>
      <c r="X39" s="71">
        <f>0</f>
        <v>0</v>
      </c>
      <c r="Y39" s="71">
        <f>0</f>
        <v>0</v>
      </c>
      <c r="Z39" s="71">
        <f>0</f>
        <v>0</v>
      </c>
      <c r="AA39" s="71">
        <f>0</f>
        <v>0</v>
      </c>
      <c r="AB39" s="71">
        <f>0</f>
        <v>0</v>
      </c>
      <c r="AC39" s="71">
        <f>0</f>
        <v>0</v>
      </c>
      <c r="AD39" s="71">
        <f>0</f>
        <v>0</v>
      </c>
      <c r="AE39" s="71">
        <f>0</f>
        <v>0</v>
      </c>
      <c r="AF39" s="71">
        <f>0</f>
        <v>0</v>
      </c>
      <c r="AG39" s="71">
        <f>0</f>
        <v>0</v>
      </c>
      <c r="AH39" s="71">
        <f>0</f>
        <v>0</v>
      </c>
      <c r="AI39" s="71">
        <f>0</f>
        <v>0</v>
      </c>
      <c r="AJ39" s="71">
        <f>0</f>
        <v>0</v>
      </c>
      <c r="AK39" s="71">
        <f>0</f>
        <v>0</v>
      </c>
      <c r="AL39" s="71">
        <f>0</f>
        <v>0</v>
      </c>
      <c r="AM39" s="71">
        <f>0</f>
        <v>0</v>
      </c>
      <c r="AN39" s="71">
        <f>0</f>
        <v>0</v>
      </c>
      <c r="AO39" s="71">
        <f>0</f>
        <v>0</v>
      </c>
      <c r="AP39" s="71">
        <f>0</f>
        <v>0</v>
      </c>
      <c r="AQ39" s="71">
        <f>0</f>
        <v>0</v>
      </c>
      <c r="AR39" s="71">
        <f>0</f>
        <v>0</v>
      </c>
      <c r="AS39" s="71">
        <f>0</f>
        <v>0</v>
      </c>
      <c r="AT39" s="71">
        <f>0</f>
        <v>0</v>
      </c>
      <c r="AU39" s="71">
        <f>0</f>
        <v>0</v>
      </c>
      <c r="AV39" s="71">
        <f>0</f>
        <v>0</v>
      </c>
      <c r="AW39" s="71">
        <f>0</f>
        <v>0</v>
      </c>
      <c r="AX39" s="71">
        <f>0</f>
        <v>0</v>
      </c>
      <c r="AY39" s="71">
        <f>0</f>
        <v>0</v>
      </c>
      <c r="AZ39" s="71">
        <f>0</f>
        <v>0</v>
      </c>
      <c r="BA39" s="72">
        <f>0</f>
        <v>0</v>
      </c>
    </row>
    <row r="40" spans="1:54" outlineLevel="1">
      <c r="A40" s="244" t="s">
        <v>27</v>
      </c>
      <c r="B40" s="244"/>
      <c r="C40" s="65" t="s">
        <v>57</v>
      </c>
      <c r="D40" s="85"/>
      <c r="E40" s="447" t="s">
        <v>322</v>
      </c>
      <c r="F40" s="103">
        <f>0</f>
        <v>0</v>
      </c>
      <c r="G40" s="103">
        <f>0</f>
        <v>0</v>
      </c>
      <c r="H40" s="103">
        <f>0</f>
        <v>0</v>
      </c>
      <c r="I40" s="103">
        <f>0</f>
        <v>0</v>
      </c>
      <c r="J40" s="103">
        <f>1699428.56</f>
        <v>1699428.56</v>
      </c>
      <c r="K40" s="68">
        <f>2993278.28</f>
        <v>2993278.28</v>
      </c>
      <c r="L40" s="68">
        <f>2218751</f>
        <v>2218751</v>
      </c>
      <c r="M40" s="69">
        <f>2218751</f>
        <v>2218751</v>
      </c>
      <c r="N40" s="70">
        <f>7719990</f>
        <v>7719990</v>
      </c>
      <c r="O40" s="71">
        <f>0</f>
        <v>0</v>
      </c>
      <c r="P40" s="71">
        <f>0</f>
        <v>0</v>
      </c>
      <c r="Q40" s="71">
        <f>0</f>
        <v>0</v>
      </c>
      <c r="R40" s="71">
        <f>0</f>
        <v>0</v>
      </c>
      <c r="S40" s="71">
        <f>0</f>
        <v>0</v>
      </c>
      <c r="T40" s="71">
        <f>0</f>
        <v>0</v>
      </c>
      <c r="U40" s="71">
        <f>0</f>
        <v>0</v>
      </c>
      <c r="V40" s="71">
        <f>0</f>
        <v>0</v>
      </c>
      <c r="W40" s="71">
        <f>0</f>
        <v>0</v>
      </c>
      <c r="X40" s="71">
        <f>0</f>
        <v>0</v>
      </c>
      <c r="Y40" s="71">
        <f>0</f>
        <v>0</v>
      </c>
      <c r="Z40" s="71">
        <f>0</f>
        <v>0</v>
      </c>
      <c r="AA40" s="71">
        <f>0</f>
        <v>0</v>
      </c>
      <c r="AB40" s="71">
        <f>0</f>
        <v>0</v>
      </c>
      <c r="AC40" s="71">
        <f>0</f>
        <v>0</v>
      </c>
      <c r="AD40" s="71">
        <f>0</f>
        <v>0</v>
      </c>
      <c r="AE40" s="71">
        <f>0</f>
        <v>0</v>
      </c>
      <c r="AF40" s="71">
        <f>0</f>
        <v>0</v>
      </c>
      <c r="AG40" s="71">
        <f>0</f>
        <v>0</v>
      </c>
      <c r="AH40" s="71">
        <f>0</f>
        <v>0</v>
      </c>
      <c r="AI40" s="71">
        <f>0</f>
        <v>0</v>
      </c>
      <c r="AJ40" s="71">
        <f>0</f>
        <v>0</v>
      </c>
      <c r="AK40" s="71">
        <f>0</f>
        <v>0</v>
      </c>
      <c r="AL40" s="71">
        <f>0</f>
        <v>0</v>
      </c>
      <c r="AM40" s="71">
        <f>0</f>
        <v>0</v>
      </c>
      <c r="AN40" s="71">
        <f>0</f>
        <v>0</v>
      </c>
      <c r="AO40" s="71">
        <f>0</f>
        <v>0</v>
      </c>
      <c r="AP40" s="71">
        <f>0</f>
        <v>0</v>
      </c>
      <c r="AQ40" s="71">
        <f>0</f>
        <v>0</v>
      </c>
      <c r="AR40" s="71">
        <f>0</f>
        <v>0</v>
      </c>
      <c r="AS40" s="71">
        <f>0</f>
        <v>0</v>
      </c>
      <c r="AT40" s="71">
        <f>0</f>
        <v>0</v>
      </c>
      <c r="AU40" s="71">
        <f>0</f>
        <v>0</v>
      </c>
      <c r="AV40" s="71">
        <f>0</f>
        <v>0</v>
      </c>
      <c r="AW40" s="71">
        <f>0</f>
        <v>0</v>
      </c>
      <c r="AX40" s="71">
        <f>0</f>
        <v>0</v>
      </c>
      <c r="AY40" s="71">
        <f>0</f>
        <v>0</v>
      </c>
      <c r="AZ40" s="71">
        <f>0</f>
        <v>0</v>
      </c>
      <c r="BA40" s="72">
        <f>0</f>
        <v>0</v>
      </c>
    </row>
    <row r="41" spans="1:54" outlineLevel="2">
      <c r="A41" s="244" t="s">
        <v>27</v>
      </c>
      <c r="B41" s="244"/>
      <c r="C41" s="65" t="s">
        <v>45</v>
      </c>
      <c r="D41" s="85"/>
      <c r="E41" s="109" t="s">
        <v>90</v>
      </c>
      <c r="F41" s="103">
        <f>0</f>
        <v>0</v>
      </c>
      <c r="G41" s="103">
        <f>0</f>
        <v>0</v>
      </c>
      <c r="H41" s="103">
        <f>0</f>
        <v>0</v>
      </c>
      <c r="I41" s="103">
        <f>0</f>
        <v>0</v>
      </c>
      <c r="J41" s="103">
        <f>0</f>
        <v>0</v>
      </c>
      <c r="K41" s="68">
        <f>0</f>
        <v>0</v>
      </c>
      <c r="L41" s="68">
        <f>2218751</f>
        <v>2218751</v>
      </c>
      <c r="M41" s="69">
        <f>0</f>
        <v>0</v>
      </c>
      <c r="N41" s="70">
        <f>7719990</f>
        <v>7719990</v>
      </c>
      <c r="O41" s="71">
        <f>0</f>
        <v>0</v>
      </c>
      <c r="P41" s="71">
        <f>0</f>
        <v>0</v>
      </c>
      <c r="Q41" s="71">
        <f>0</f>
        <v>0</v>
      </c>
      <c r="R41" s="71">
        <f>0</f>
        <v>0</v>
      </c>
      <c r="S41" s="71">
        <f>0</f>
        <v>0</v>
      </c>
      <c r="T41" s="71">
        <f>0</f>
        <v>0</v>
      </c>
      <c r="U41" s="71">
        <f>0</f>
        <v>0</v>
      </c>
      <c r="V41" s="71">
        <f>0</f>
        <v>0</v>
      </c>
      <c r="W41" s="71">
        <f>0</f>
        <v>0</v>
      </c>
      <c r="X41" s="71">
        <f>0</f>
        <v>0</v>
      </c>
      <c r="Y41" s="71">
        <f>0</f>
        <v>0</v>
      </c>
      <c r="Z41" s="71">
        <f>0</f>
        <v>0</v>
      </c>
      <c r="AA41" s="71">
        <f>0</f>
        <v>0</v>
      </c>
      <c r="AB41" s="71">
        <f>0</f>
        <v>0</v>
      </c>
      <c r="AC41" s="71">
        <f>0</f>
        <v>0</v>
      </c>
      <c r="AD41" s="71">
        <f>0</f>
        <v>0</v>
      </c>
      <c r="AE41" s="71">
        <f>0</f>
        <v>0</v>
      </c>
      <c r="AF41" s="71">
        <f>0</f>
        <v>0</v>
      </c>
      <c r="AG41" s="71">
        <f>0</f>
        <v>0</v>
      </c>
      <c r="AH41" s="71">
        <f>0</f>
        <v>0</v>
      </c>
      <c r="AI41" s="71">
        <f>0</f>
        <v>0</v>
      </c>
      <c r="AJ41" s="71">
        <f>0</f>
        <v>0</v>
      </c>
      <c r="AK41" s="71">
        <f>0</f>
        <v>0</v>
      </c>
      <c r="AL41" s="71">
        <f>0</f>
        <v>0</v>
      </c>
      <c r="AM41" s="71">
        <f>0</f>
        <v>0</v>
      </c>
      <c r="AN41" s="71">
        <f>0</f>
        <v>0</v>
      </c>
      <c r="AO41" s="71">
        <f>0</f>
        <v>0</v>
      </c>
      <c r="AP41" s="71">
        <f>0</f>
        <v>0</v>
      </c>
      <c r="AQ41" s="71">
        <f>0</f>
        <v>0</v>
      </c>
      <c r="AR41" s="71">
        <f>0</f>
        <v>0</v>
      </c>
      <c r="AS41" s="71">
        <f>0</f>
        <v>0</v>
      </c>
      <c r="AT41" s="71">
        <f>0</f>
        <v>0</v>
      </c>
      <c r="AU41" s="71">
        <f>0</f>
        <v>0</v>
      </c>
      <c r="AV41" s="71">
        <f>0</f>
        <v>0</v>
      </c>
      <c r="AW41" s="71">
        <f>0</f>
        <v>0</v>
      </c>
      <c r="AX41" s="71">
        <f>0</f>
        <v>0</v>
      </c>
      <c r="AY41" s="71">
        <f>0</f>
        <v>0</v>
      </c>
      <c r="AZ41" s="71">
        <f>0</f>
        <v>0</v>
      </c>
      <c r="BA41" s="72">
        <f>0</f>
        <v>0</v>
      </c>
    </row>
    <row r="42" spans="1:54" ht="15" outlineLevel="1">
      <c r="A42" s="244" t="s">
        <v>27</v>
      </c>
      <c r="B42" s="244"/>
      <c r="C42" s="65" t="s">
        <v>58</v>
      </c>
      <c r="D42" s="85"/>
      <c r="E42" s="447" t="s">
        <v>323</v>
      </c>
      <c r="F42" s="103">
        <f>0</f>
        <v>0</v>
      </c>
      <c r="G42" s="103">
        <f>0</f>
        <v>0</v>
      </c>
      <c r="H42" s="103">
        <f>0</f>
        <v>0</v>
      </c>
      <c r="I42" s="103">
        <f>0</f>
        <v>0</v>
      </c>
      <c r="J42" s="103">
        <f>0</f>
        <v>0</v>
      </c>
      <c r="K42" s="68">
        <f>0</f>
        <v>0</v>
      </c>
      <c r="L42" s="68">
        <f>0</f>
        <v>0</v>
      </c>
      <c r="M42" s="69">
        <f>0</f>
        <v>0</v>
      </c>
      <c r="N42" s="70">
        <f>32000</f>
        <v>32000</v>
      </c>
      <c r="O42" s="71">
        <f>0</f>
        <v>0</v>
      </c>
      <c r="P42" s="71">
        <f>0</f>
        <v>0</v>
      </c>
      <c r="Q42" s="71">
        <f>0</f>
        <v>0</v>
      </c>
      <c r="R42" s="71">
        <f>0</f>
        <v>0</v>
      </c>
      <c r="S42" s="71">
        <f>0</f>
        <v>0</v>
      </c>
      <c r="T42" s="71">
        <f>0</f>
        <v>0</v>
      </c>
      <c r="U42" s="71">
        <f>0</f>
        <v>0</v>
      </c>
      <c r="V42" s="71">
        <f>0</f>
        <v>0</v>
      </c>
      <c r="W42" s="71">
        <f>0</f>
        <v>0</v>
      </c>
      <c r="X42" s="71">
        <f>0</f>
        <v>0</v>
      </c>
      <c r="Y42" s="71">
        <f>0</f>
        <v>0</v>
      </c>
      <c r="Z42" s="71">
        <f>0</f>
        <v>0</v>
      </c>
      <c r="AA42" s="71">
        <f>0</f>
        <v>0</v>
      </c>
      <c r="AB42" s="71">
        <f>0</f>
        <v>0</v>
      </c>
      <c r="AC42" s="71">
        <f>0</f>
        <v>0</v>
      </c>
      <c r="AD42" s="71">
        <f>0</f>
        <v>0</v>
      </c>
      <c r="AE42" s="71">
        <f>0</f>
        <v>0</v>
      </c>
      <c r="AF42" s="71">
        <f>0</f>
        <v>0</v>
      </c>
      <c r="AG42" s="71">
        <f>0</f>
        <v>0</v>
      </c>
      <c r="AH42" s="71">
        <f>0</f>
        <v>0</v>
      </c>
      <c r="AI42" s="71">
        <f>0</f>
        <v>0</v>
      </c>
      <c r="AJ42" s="71">
        <f>0</f>
        <v>0</v>
      </c>
      <c r="AK42" s="71">
        <f>0</f>
        <v>0</v>
      </c>
      <c r="AL42" s="71">
        <f>0</f>
        <v>0</v>
      </c>
      <c r="AM42" s="71">
        <f>0</f>
        <v>0</v>
      </c>
      <c r="AN42" s="71">
        <f>0</f>
        <v>0</v>
      </c>
      <c r="AO42" s="71">
        <f>0</f>
        <v>0</v>
      </c>
      <c r="AP42" s="71">
        <f>0</f>
        <v>0</v>
      </c>
      <c r="AQ42" s="71">
        <f>0</f>
        <v>0</v>
      </c>
      <c r="AR42" s="71">
        <f>0</f>
        <v>0</v>
      </c>
      <c r="AS42" s="71">
        <f>0</f>
        <v>0</v>
      </c>
      <c r="AT42" s="71">
        <f>0</f>
        <v>0</v>
      </c>
      <c r="AU42" s="71">
        <f>0</f>
        <v>0</v>
      </c>
      <c r="AV42" s="71">
        <f>0</f>
        <v>0</v>
      </c>
      <c r="AW42" s="71">
        <f>0</f>
        <v>0</v>
      </c>
      <c r="AX42" s="71">
        <f>0</f>
        <v>0</v>
      </c>
      <c r="AY42" s="71">
        <f>0</f>
        <v>0</v>
      </c>
      <c r="AZ42" s="71">
        <f>0</f>
        <v>0</v>
      </c>
      <c r="BA42" s="72">
        <f>0</f>
        <v>0</v>
      </c>
      <c r="BB42" s="21"/>
    </row>
    <row r="43" spans="1:54" outlineLevel="2">
      <c r="A43" s="244" t="s">
        <v>27</v>
      </c>
      <c r="B43" s="244"/>
      <c r="C43" s="65" t="s">
        <v>46</v>
      </c>
      <c r="D43" s="85"/>
      <c r="E43" s="109" t="s">
        <v>90</v>
      </c>
      <c r="F43" s="103">
        <f>0</f>
        <v>0</v>
      </c>
      <c r="G43" s="103">
        <f>0</f>
        <v>0</v>
      </c>
      <c r="H43" s="103">
        <f>0</f>
        <v>0</v>
      </c>
      <c r="I43" s="103">
        <f>0</f>
        <v>0</v>
      </c>
      <c r="J43" s="103">
        <f>0</f>
        <v>0</v>
      </c>
      <c r="K43" s="68">
        <f>0</f>
        <v>0</v>
      </c>
      <c r="L43" s="68">
        <f>0</f>
        <v>0</v>
      </c>
      <c r="M43" s="69">
        <f>0</f>
        <v>0</v>
      </c>
      <c r="N43" s="70">
        <f>32000</f>
        <v>32000</v>
      </c>
      <c r="O43" s="71">
        <f>0</f>
        <v>0</v>
      </c>
      <c r="P43" s="71">
        <f>0</f>
        <v>0</v>
      </c>
      <c r="Q43" s="71">
        <f>0</f>
        <v>0</v>
      </c>
      <c r="R43" s="71">
        <f>0</f>
        <v>0</v>
      </c>
      <c r="S43" s="71">
        <f>0</f>
        <v>0</v>
      </c>
      <c r="T43" s="71">
        <f>0</f>
        <v>0</v>
      </c>
      <c r="U43" s="71">
        <f>0</f>
        <v>0</v>
      </c>
      <c r="V43" s="71">
        <f>0</f>
        <v>0</v>
      </c>
      <c r="W43" s="71">
        <f>0</f>
        <v>0</v>
      </c>
      <c r="X43" s="71">
        <f>0</f>
        <v>0</v>
      </c>
      <c r="Y43" s="71">
        <f>0</f>
        <v>0</v>
      </c>
      <c r="Z43" s="71">
        <f>0</f>
        <v>0</v>
      </c>
      <c r="AA43" s="71">
        <f>0</f>
        <v>0</v>
      </c>
      <c r="AB43" s="71">
        <f>0</f>
        <v>0</v>
      </c>
      <c r="AC43" s="71">
        <f>0</f>
        <v>0</v>
      </c>
      <c r="AD43" s="71">
        <f>0</f>
        <v>0</v>
      </c>
      <c r="AE43" s="71">
        <f>0</f>
        <v>0</v>
      </c>
      <c r="AF43" s="71">
        <f>0</f>
        <v>0</v>
      </c>
      <c r="AG43" s="71">
        <f>0</f>
        <v>0</v>
      </c>
      <c r="AH43" s="71">
        <f>0</f>
        <v>0</v>
      </c>
      <c r="AI43" s="71">
        <f>0</f>
        <v>0</v>
      </c>
      <c r="AJ43" s="71">
        <f>0</f>
        <v>0</v>
      </c>
      <c r="AK43" s="71">
        <f>0</f>
        <v>0</v>
      </c>
      <c r="AL43" s="71">
        <f>0</f>
        <v>0</v>
      </c>
      <c r="AM43" s="71">
        <f>0</f>
        <v>0</v>
      </c>
      <c r="AN43" s="71">
        <f>0</f>
        <v>0</v>
      </c>
      <c r="AO43" s="71">
        <f>0</f>
        <v>0</v>
      </c>
      <c r="AP43" s="71">
        <f>0</f>
        <v>0</v>
      </c>
      <c r="AQ43" s="71">
        <f>0</f>
        <v>0</v>
      </c>
      <c r="AR43" s="71">
        <f>0</f>
        <v>0</v>
      </c>
      <c r="AS43" s="71">
        <f>0</f>
        <v>0</v>
      </c>
      <c r="AT43" s="71">
        <f>0</f>
        <v>0</v>
      </c>
      <c r="AU43" s="71">
        <f>0</f>
        <v>0</v>
      </c>
      <c r="AV43" s="71">
        <f>0</f>
        <v>0</v>
      </c>
      <c r="AW43" s="71">
        <f>0</f>
        <v>0</v>
      </c>
      <c r="AX43" s="71">
        <f>0</f>
        <v>0</v>
      </c>
      <c r="AY43" s="71">
        <f>0</f>
        <v>0</v>
      </c>
      <c r="AZ43" s="71">
        <f>0</f>
        <v>0</v>
      </c>
      <c r="BA43" s="72">
        <f>0</f>
        <v>0</v>
      </c>
    </row>
    <row r="44" spans="1:54" outlineLevel="1">
      <c r="A44" s="244" t="s">
        <v>27</v>
      </c>
      <c r="B44" s="244"/>
      <c r="C44" s="65" t="s">
        <v>300</v>
      </c>
      <c r="D44" s="85"/>
      <c r="E44" s="447" t="s">
        <v>92</v>
      </c>
      <c r="F44" s="103">
        <f>0</f>
        <v>0</v>
      </c>
      <c r="G44" s="103">
        <f>0</f>
        <v>0</v>
      </c>
      <c r="H44" s="103">
        <f>0</f>
        <v>0</v>
      </c>
      <c r="I44" s="103">
        <f>0</f>
        <v>0</v>
      </c>
      <c r="J44" s="103">
        <f>0</f>
        <v>0</v>
      </c>
      <c r="K44" s="68">
        <f>0</f>
        <v>0</v>
      </c>
      <c r="L44" s="68">
        <f>0</f>
        <v>0</v>
      </c>
      <c r="M44" s="69">
        <f>0</f>
        <v>0</v>
      </c>
      <c r="N44" s="70">
        <f>0</f>
        <v>0</v>
      </c>
      <c r="O44" s="71">
        <f>0</f>
        <v>0</v>
      </c>
      <c r="P44" s="71">
        <f>0</f>
        <v>0</v>
      </c>
      <c r="Q44" s="71">
        <f>0</f>
        <v>0</v>
      </c>
      <c r="R44" s="71">
        <f>0</f>
        <v>0</v>
      </c>
      <c r="S44" s="71">
        <f>0</f>
        <v>0</v>
      </c>
      <c r="T44" s="71">
        <f>0</f>
        <v>0</v>
      </c>
      <c r="U44" s="71">
        <f>0</f>
        <v>0</v>
      </c>
      <c r="V44" s="71">
        <f>0</f>
        <v>0</v>
      </c>
      <c r="W44" s="71">
        <f>0</f>
        <v>0</v>
      </c>
      <c r="X44" s="71">
        <f>0</f>
        <v>0</v>
      </c>
      <c r="Y44" s="71">
        <f>0</f>
        <v>0</v>
      </c>
      <c r="Z44" s="71">
        <f>0</f>
        <v>0</v>
      </c>
      <c r="AA44" s="71">
        <f>0</f>
        <v>0</v>
      </c>
      <c r="AB44" s="71">
        <f>0</f>
        <v>0</v>
      </c>
      <c r="AC44" s="71">
        <f>0</f>
        <v>0</v>
      </c>
      <c r="AD44" s="71">
        <f>0</f>
        <v>0</v>
      </c>
      <c r="AE44" s="71">
        <f>0</f>
        <v>0</v>
      </c>
      <c r="AF44" s="71">
        <f>0</f>
        <v>0</v>
      </c>
      <c r="AG44" s="71">
        <f>0</f>
        <v>0</v>
      </c>
      <c r="AH44" s="71">
        <f>0</f>
        <v>0</v>
      </c>
      <c r="AI44" s="71">
        <f>0</f>
        <v>0</v>
      </c>
      <c r="AJ44" s="71">
        <f>0</f>
        <v>0</v>
      </c>
      <c r="AK44" s="71">
        <f>0</f>
        <v>0</v>
      </c>
      <c r="AL44" s="71">
        <f>0</f>
        <v>0</v>
      </c>
      <c r="AM44" s="71">
        <f>0</f>
        <v>0</v>
      </c>
      <c r="AN44" s="71">
        <f>0</f>
        <v>0</v>
      </c>
      <c r="AO44" s="71">
        <f>0</f>
        <v>0</v>
      </c>
      <c r="AP44" s="71">
        <f>0</f>
        <v>0</v>
      </c>
      <c r="AQ44" s="71">
        <f>0</f>
        <v>0</v>
      </c>
      <c r="AR44" s="71">
        <f>0</f>
        <v>0</v>
      </c>
      <c r="AS44" s="71">
        <f>0</f>
        <v>0</v>
      </c>
      <c r="AT44" s="71">
        <f>0</f>
        <v>0</v>
      </c>
      <c r="AU44" s="71">
        <f>0</f>
        <v>0</v>
      </c>
      <c r="AV44" s="71">
        <f>0</f>
        <v>0</v>
      </c>
      <c r="AW44" s="71">
        <f>0</f>
        <v>0</v>
      </c>
      <c r="AX44" s="71">
        <f>0</f>
        <v>0</v>
      </c>
      <c r="AY44" s="71">
        <f>0</f>
        <v>0</v>
      </c>
      <c r="AZ44" s="71">
        <f>0</f>
        <v>0</v>
      </c>
      <c r="BA44" s="72">
        <f>0</f>
        <v>0</v>
      </c>
    </row>
    <row r="45" spans="1:54" outlineLevel="2">
      <c r="A45" s="244" t="s">
        <v>27</v>
      </c>
      <c r="B45" s="244"/>
      <c r="C45" s="65" t="s">
        <v>273</v>
      </c>
      <c r="D45" s="85"/>
      <c r="E45" s="109" t="s">
        <v>90</v>
      </c>
      <c r="F45" s="103">
        <f>0</f>
        <v>0</v>
      </c>
      <c r="G45" s="103">
        <f>0</f>
        <v>0</v>
      </c>
      <c r="H45" s="103">
        <f>0</f>
        <v>0</v>
      </c>
      <c r="I45" s="103">
        <f>0</f>
        <v>0</v>
      </c>
      <c r="J45" s="103">
        <f>0</f>
        <v>0</v>
      </c>
      <c r="K45" s="68">
        <f>0</f>
        <v>0</v>
      </c>
      <c r="L45" s="68">
        <f>0</f>
        <v>0</v>
      </c>
      <c r="M45" s="69">
        <f>0</f>
        <v>0</v>
      </c>
      <c r="N45" s="70">
        <f>0</f>
        <v>0</v>
      </c>
      <c r="O45" s="71">
        <f>0</f>
        <v>0</v>
      </c>
      <c r="P45" s="71">
        <f>0</f>
        <v>0</v>
      </c>
      <c r="Q45" s="71">
        <f>0</f>
        <v>0</v>
      </c>
      <c r="R45" s="71">
        <f>0</f>
        <v>0</v>
      </c>
      <c r="S45" s="71">
        <f>0</f>
        <v>0</v>
      </c>
      <c r="T45" s="71">
        <f>0</f>
        <v>0</v>
      </c>
      <c r="U45" s="71">
        <f>0</f>
        <v>0</v>
      </c>
      <c r="V45" s="71">
        <f>0</f>
        <v>0</v>
      </c>
      <c r="W45" s="71">
        <f>0</f>
        <v>0</v>
      </c>
      <c r="X45" s="71">
        <f>0</f>
        <v>0</v>
      </c>
      <c r="Y45" s="71">
        <f>0</f>
        <v>0</v>
      </c>
      <c r="Z45" s="71">
        <f>0</f>
        <v>0</v>
      </c>
      <c r="AA45" s="71">
        <f>0</f>
        <v>0</v>
      </c>
      <c r="AB45" s="71">
        <f>0</f>
        <v>0</v>
      </c>
      <c r="AC45" s="71">
        <f>0</f>
        <v>0</v>
      </c>
      <c r="AD45" s="71">
        <f>0</f>
        <v>0</v>
      </c>
      <c r="AE45" s="71">
        <f>0</f>
        <v>0</v>
      </c>
      <c r="AF45" s="71">
        <f>0</f>
        <v>0</v>
      </c>
      <c r="AG45" s="71">
        <f>0</f>
        <v>0</v>
      </c>
      <c r="AH45" s="71">
        <f>0</f>
        <v>0</v>
      </c>
      <c r="AI45" s="71">
        <f>0</f>
        <v>0</v>
      </c>
      <c r="AJ45" s="71">
        <f>0</f>
        <v>0</v>
      </c>
      <c r="AK45" s="71">
        <f>0</f>
        <v>0</v>
      </c>
      <c r="AL45" s="71">
        <f>0</f>
        <v>0</v>
      </c>
      <c r="AM45" s="71">
        <f>0</f>
        <v>0</v>
      </c>
      <c r="AN45" s="71">
        <f>0</f>
        <v>0</v>
      </c>
      <c r="AO45" s="71">
        <f>0</f>
        <v>0</v>
      </c>
      <c r="AP45" s="71">
        <f>0</f>
        <v>0</v>
      </c>
      <c r="AQ45" s="71">
        <f>0</f>
        <v>0</v>
      </c>
      <c r="AR45" s="71">
        <f>0</f>
        <v>0</v>
      </c>
      <c r="AS45" s="71">
        <f>0</f>
        <v>0</v>
      </c>
      <c r="AT45" s="71">
        <f>0</f>
        <v>0</v>
      </c>
      <c r="AU45" s="71">
        <f>0</f>
        <v>0</v>
      </c>
      <c r="AV45" s="71">
        <f>0</f>
        <v>0</v>
      </c>
      <c r="AW45" s="71">
        <f>0</f>
        <v>0</v>
      </c>
      <c r="AX45" s="71">
        <f>0</f>
        <v>0</v>
      </c>
      <c r="AY45" s="71">
        <f>0</f>
        <v>0</v>
      </c>
      <c r="AZ45" s="71">
        <f>0</f>
        <v>0</v>
      </c>
      <c r="BA45" s="72">
        <f>0</f>
        <v>0</v>
      </c>
    </row>
    <row r="46" spans="1:54" s="57" customFormat="1">
      <c r="A46" s="244" t="s">
        <v>27</v>
      </c>
      <c r="B46" s="244" t="s">
        <v>27</v>
      </c>
      <c r="C46" s="22">
        <v>5</v>
      </c>
      <c r="D46" s="85"/>
      <c r="E46" s="111" t="s">
        <v>47</v>
      </c>
      <c r="F46" s="104">
        <f>0</f>
        <v>0</v>
      </c>
      <c r="G46" s="104">
        <f>0</f>
        <v>0</v>
      </c>
      <c r="H46" s="104">
        <f>0</f>
        <v>0</v>
      </c>
      <c r="I46" s="104">
        <f>0</f>
        <v>0</v>
      </c>
      <c r="J46" s="104">
        <f>0</f>
        <v>0</v>
      </c>
      <c r="K46" s="66">
        <f>0</f>
        <v>0</v>
      </c>
      <c r="L46" s="66">
        <f>2090000</f>
        <v>2090000</v>
      </c>
      <c r="M46" s="67">
        <f>2312000</f>
        <v>2312000</v>
      </c>
      <c r="N46" s="23">
        <f>0</f>
        <v>0</v>
      </c>
      <c r="O46" s="24">
        <f>2000000</f>
        <v>2000000</v>
      </c>
      <c r="P46" s="24">
        <f>1915000</f>
        <v>1915000</v>
      </c>
      <c r="Q46" s="24">
        <f t="shared" ref="Q46:S47" si="7">2000000</f>
        <v>2000000</v>
      </c>
      <c r="R46" s="24">
        <f t="shared" si="7"/>
        <v>2000000</v>
      </c>
      <c r="S46" s="24">
        <f t="shared" si="7"/>
        <v>2000000</v>
      </c>
      <c r="T46" s="24">
        <f t="shared" ref="T46:W47" si="8">1500000</f>
        <v>1500000</v>
      </c>
      <c r="U46" s="24">
        <f t="shared" si="8"/>
        <v>1500000</v>
      </c>
      <c r="V46" s="24">
        <f t="shared" si="8"/>
        <v>1500000</v>
      </c>
      <c r="W46" s="24">
        <f t="shared" si="8"/>
        <v>1500000</v>
      </c>
      <c r="X46" s="24">
        <f>1750000</f>
        <v>1750000</v>
      </c>
      <c r="Y46" s="24">
        <f>1750000</f>
        <v>1750000</v>
      </c>
      <c r="Z46" s="24">
        <f>0</f>
        <v>0</v>
      </c>
      <c r="AA46" s="24">
        <f>0</f>
        <v>0</v>
      </c>
      <c r="AB46" s="24">
        <f>0</f>
        <v>0</v>
      </c>
      <c r="AC46" s="24">
        <f>0</f>
        <v>0</v>
      </c>
      <c r="AD46" s="24">
        <f>0</f>
        <v>0</v>
      </c>
      <c r="AE46" s="24">
        <f>0</f>
        <v>0</v>
      </c>
      <c r="AF46" s="24">
        <f>0</f>
        <v>0</v>
      </c>
      <c r="AG46" s="24">
        <f>0</f>
        <v>0</v>
      </c>
      <c r="AH46" s="24">
        <f>0</f>
        <v>0</v>
      </c>
      <c r="AI46" s="24">
        <f>0</f>
        <v>0</v>
      </c>
      <c r="AJ46" s="24">
        <f>0</f>
        <v>0</v>
      </c>
      <c r="AK46" s="24">
        <f>0</f>
        <v>0</v>
      </c>
      <c r="AL46" s="24">
        <f>0</f>
        <v>0</v>
      </c>
      <c r="AM46" s="24">
        <f>0</f>
        <v>0</v>
      </c>
      <c r="AN46" s="24">
        <f>0</f>
        <v>0</v>
      </c>
      <c r="AO46" s="24">
        <f>0</f>
        <v>0</v>
      </c>
      <c r="AP46" s="24">
        <f>0</f>
        <v>0</v>
      </c>
      <c r="AQ46" s="24">
        <f>0</f>
        <v>0</v>
      </c>
      <c r="AR46" s="24">
        <f>0</f>
        <v>0</v>
      </c>
      <c r="AS46" s="24">
        <f>0</f>
        <v>0</v>
      </c>
      <c r="AT46" s="24">
        <f>0</f>
        <v>0</v>
      </c>
      <c r="AU46" s="24">
        <f>0</f>
        <v>0</v>
      </c>
      <c r="AV46" s="24">
        <f>0</f>
        <v>0</v>
      </c>
      <c r="AW46" s="24">
        <f>0</f>
        <v>0</v>
      </c>
      <c r="AX46" s="24">
        <f>0</f>
        <v>0</v>
      </c>
      <c r="AY46" s="24">
        <f>0</f>
        <v>0</v>
      </c>
      <c r="AZ46" s="24">
        <f>0</f>
        <v>0</v>
      </c>
      <c r="BA46" s="25">
        <f>0</f>
        <v>0</v>
      </c>
    </row>
    <row r="47" spans="1:54" s="57" customFormat="1" outlineLevel="1">
      <c r="A47" s="244" t="s">
        <v>27</v>
      </c>
      <c r="B47" s="244" t="s">
        <v>27</v>
      </c>
      <c r="C47" s="65" t="s">
        <v>59</v>
      </c>
      <c r="D47" s="85" t="s">
        <v>366</v>
      </c>
      <c r="E47" s="447" t="s">
        <v>93</v>
      </c>
      <c r="F47" s="103">
        <f>0</f>
        <v>0</v>
      </c>
      <c r="G47" s="103">
        <f>0</f>
        <v>0</v>
      </c>
      <c r="H47" s="103">
        <f>0</f>
        <v>0</v>
      </c>
      <c r="I47" s="103">
        <f>0</f>
        <v>0</v>
      </c>
      <c r="J47" s="103">
        <f>0</f>
        <v>0</v>
      </c>
      <c r="K47" s="68">
        <f>0</f>
        <v>0</v>
      </c>
      <c r="L47" s="68">
        <f>2000000</f>
        <v>2000000</v>
      </c>
      <c r="M47" s="69">
        <f>2000000</f>
        <v>2000000</v>
      </c>
      <c r="N47" s="70">
        <f>0</f>
        <v>0</v>
      </c>
      <c r="O47" s="71">
        <f>2000000</f>
        <v>2000000</v>
      </c>
      <c r="P47" s="71">
        <f>1915000</f>
        <v>1915000</v>
      </c>
      <c r="Q47" s="71">
        <f t="shared" si="7"/>
        <v>2000000</v>
      </c>
      <c r="R47" s="71">
        <f t="shared" si="7"/>
        <v>2000000</v>
      </c>
      <c r="S47" s="71">
        <f t="shared" si="7"/>
        <v>2000000</v>
      </c>
      <c r="T47" s="71">
        <f t="shared" si="8"/>
        <v>1500000</v>
      </c>
      <c r="U47" s="71">
        <f t="shared" si="8"/>
        <v>1500000</v>
      </c>
      <c r="V47" s="71">
        <f t="shared" si="8"/>
        <v>1500000</v>
      </c>
      <c r="W47" s="71">
        <f t="shared" si="8"/>
        <v>1500000</v>
      </c>
      <c r="X47" s="71">
        <f>1750000</f>
        <v>1750000</v>
      </c>
      <c r="Y47" s="71">
        <f>1750000</f>
        <v>1750000</v>
      </c>
      <c r="Z47" s="71">
        <f>0</f>
        <v>0</v>
      </c>
      <c r="AA47" s="71">
        <f>0</f>
        <v>0</v>
      </c>
      <c r="AB47" s="71">
        <f>0</f>
        <v>0</v>
      </c>
      <c r="AC47" s="71">
        <f>0</f>
        <v>0</v>
      </c>
      <c r="AD47" s="71">
        <f>0</f>
        <v>0</v>
      </c>
      <c r="AE47" s="71">
        <f>0</f>
        <v>0</v>
      </c>
      <c r="AF47" s="71">
        <f>0</f>
        <v>0</v>
      </c>
      <c r="AG47" s="71">
        <f>0</f>
        <v>0</v>
      </c>
      <c r="AH47" s="71">
        <f>0</f>
        <v>0</v>
      </c>
      <c r="AI47" s="71">
        <f>0</f>
        <v>0</v>
      </c>
      <c r="AJ47" s="71">
        <f>0</f>
        <v>0</v>
      </c>
      <c r="AK47" s="71">
        <f>0</f>
        <v>0</v>
      </c>
      <c r="AL47" s="71">
        <f>0</f>
        <v>0</v>
      </c>
      <c r="AM47" s="71">
        <f>0</f>
        <v>0</v>
      </c>
      <c r="AN47" s="71">
        <f>0</f>
        <v>0</v>
      </c>
      <c r="AO47" s="71">
        <f>0</f>
        <v>0</v>
      </c>
      <c r="AP47" s="71">
        <f>0</f>
        <v>0</v>
      </c>
      <c r="AQ47" s="71">
        <f>0</f>
        <v>0</v>
      </c>
      <c r="AR47" s="71">
        <f>0</f>
        <v>0</v>
      </c>
      <c r="AS47" s="71">
        <f>0</f>
        <v>0</v>
      </c>
      <c r="AT47" s="71">
        <f>0</f>
        <v>0</v>
      </c>
      <c r="AU47" s="71">
        <f>0</f>
        <v>0</v>
      </c>
      <c r="AV47" s="71">
        <f>0</f>
        <v>0</v>
      </c>
      <c r="AW47" s="71">
        <f>0</f>
        <v>0</v>
      </c>
      <c r="AX47" s="71">
        <f>0</f>
        <v>0</v>
      </c>
      <c r="AY47" s="71">
        <f>0</f>
        <v>0</v>
      </c>
      <c r="AZ47" s="71">
        <f>0</f>
        <v>0</v>
      </c>
      <c r="BA47" s="72">
        <f>0</f>
        <v>0</v>
      </c>
    </row>
    <row r="48" spans="1:54" ht="24" outlineLevel="2">
      <c r="A48" s="244" t="s">
        <v>27</v>
      </c>
      <c r="B48" s="244" t="s">
        <v>27</v>
      </c>
      <c r="C48" s="65" t="s">
        <v>48</v>
      </c>
      <c r="D48" s="85"/>
      <c r="E48" s="109" t="s">
        <v>324</v>
      </c>
      <c r="F48" s="103">
        <f>0</f>
        <v>0</v>
      </c>
      <c r="G48" s="103">
        <f>0</f>
        <v>0</v>
      </c>
      <c r="H48" s="103">
        <f>0</f>
        <v>0</v>
      </c>
      <c r="I48" s="103">
        <f>0</f>
        <v>0</v>
      </c>
      <c r="J48" s="103">
        <f>0</f>
        <v>0</v>
      </c>
      <c r="K48" s="68">
        <f>0</f>
        <v>0</v>
      </c>
      <c r="L48" s="68">
        <f>0</f>
        <v>0</v>
      </c>
      <c r="M48" s="69">
        <f>0</f>
        <v>0</v>
      </c>
      <c r="N48" s="70">
        <f>0</f>
        <v>0</v>
      </c>
      <c r="O48" s="71">
        <f>0</f>
        <v>0</v>
      </c>
      <c r="P48" s="71">
        <f>0</f>
        <v>0</v>
      </c>
      <c r="Q48" s="71">
        <f>0</f>
        <v>0</v>
      </c>
      <c r="R48" s="71">
        <f>0</f>
        <v>0</v>
      </c>
      <c r="S48" s="71">
        <f>0</f>
        <v>0</v>
      </c>
      <c r="T48" s="71">
        <f>0</f>
        <v>0</v>
      </c>
      <c r="U48" s="71">
        <f>0</f>
        <v>0</v>
      </c>
      <c r="V48" s="71">
        <f>0</f>
        <v>0</v>
      </c>
      <c r="W48" s="71">
        <f>0</f>
        <v>0</v>
      </c>
      <c r="X48" s="71">
        <f>0</f>
        <v>0</v>
      </c>
      <c r="Y48" s="71">
        <f>0</f>
        <v>0</v>
      </c>
      <c r="Z48" s="71">
        <f>0</f>
        <v>0</v>
      </c>
      <c r="AA48" s="71">
        <f>0</f>
        <v>0</v>
      </c>
      <c r="AB48" s="71">
        <f>0</f>
        <v>0</v>
      </c>
      <c r="AC48" s="71">
        <f>0</f>
        <v>0</v>
      </c>
      <c r="AD48" s="71">
        <f>0</f>
        <v>0</v>
      </c>
      <c r="AE48" s="71">
        <f>0</f>
        <v>0</v>
      </c>
      <c r="AF48" s="71">
        <f>0</f>
        <v>0</v>
      </c>
      <c r="AG48" s="71">
        <f>0</f>
        <v>0</v>
      </c>
      <c r="AH48" s="71">
        <f>0</f>
        <v>0</v>
      </c>
      <c r="AI48" s="71">
        <f>0</f>
        <v>0</v>
      </c>
      <c r="AJ48" s="71">
        <f>0</f>
        <v>0</v>
      </c>
      <c r="AK48" s="71">
        <f>0</f>
        <v>0</v>
      </c>
      <c r="AL48" s="71">
        <f>0</f>
        <v>0</v>
      </c>
      <c r="AM48" s="71">
        <f>0</f>
        <v>0</v>
      </c>
      <c r="AN48" s="71">
        <f>0</f>
        <v>0</v>
      </c>
      <c r="AO48" s="71">
        <f>0</f>
        <v>0</v>
      </c>
      <c r="AP48" s="71">
        <f>0</f>
        <v>0</v>
      </c>
      <c r="AQ48" s="71">
        <f>0</f>
        <v>0</v>
      </c>
      <c r="AR48" s="71">
        <f>0</f>
        <v>0</v>
      </c>
      <c r="AS48" s="71">
        <f>0</f>
        <v>0</v>
      </c>
      <c r="AT48" s="71">
        <f>0</f>
        <v>0</v>
      </c>
      <c r="AU48" s="71">
        <f>0</f>
        <v>0</v>
      </c>
      <c r="AV48" s="71">
        <f>0</f>
        <v>0</v>
      </c>
      <c r="AW48" s="71">
        <f>0</f>
        <v>0</v>
      </c>
      <c r="AX48" s="71">
        <f>0</f>
        <v>0</v>
      </c>
      <c r="AY48" s="71">
        <f>0</f>
        <v>0</v>
      </c>
      <c r="AZ48" s="71">
        <f>0</f>
        <v>0</v>
      </c>
      <c r="BA48" s="72">
        <f>0</f>
        <v>0</v>
      </c>
    </row>
    <row r="49" spans="1:54" ht="15" outlineLevel="3">
      <c r="A49" s="244" t="s">
        <v>27</v>
      </c>
      <c r="B49" s="244"/>
      <c r="C49" s="65" t="s">
        <v>49</v>
      </c>
      <c r="D49" s="85"/>
      <c r="E49" s="458" t="s">
        <v>325</v>
      </c>
      <c r="F49" s="103">
        <f>0</f>
        <v>0</v>
      </c>
      <c r="G49" s="103">
        <f>0</f>
        <v>0</v>
      </c>
      <c r="H49" s="103">
        <f>0</f>
        <v>0</v>
      </c>
      <c r="I49" s="103">
        <f>0</f>
        <v>0</v>
      </c>
      <c r="J49" s="103">
        <f>0</f>
        <v>0</v>
      </c>
      <c r="K49" s="68">
        <f>0</f>
        <v>0</v>
      </c>
      <c r="L49" s="68">
        <f>0</f>
        <v>0</v>
      </c>
      <c r="M49" s="69">
        <f>0</f>
        <v>0</v>
      </c>
      <c r="N49" s="70">
        <f>0</f>
        <v>0</v>
      </c>
      <c r="O49" s="71">
        <f>0</f>
        <v>0</v>
      </c>
      <c r="P49" s="71">
        <f>0</f>
        <v>0</v>
      </c>
      <c r="Q49" s="71">
        <f>0</f>
        <v>0</v>
      </c>
      <c r="R49" s="71">
        <f>0</f>
        <v>0</v>
      </c>
      <c r="S49" s="71">
        <f>0</f>
        <v>0</v>
      </c>
      <c r="T49" s="71">
        <f>0</f>
        <v>0</v>
      </c>
      <c r="U49" s="71">
        <f>0</f>
        <v>0</v>
      </c>
      <c r="V49" s="71">
        <f>0</f>
        <v>0</v>
      </c>
      <c r="W49" s="71">
        <f>0</f>
        <v>0</v>
      </c>
      <c r="X49" s="71">
        <f>0</f>
        <v>0</v>
      </c>
      <c r="Y49" s="71">
        <f>0</f>
        <v>0</v>
      </c>
      <c r="Z49" s="71">
        <f>0</f>
        <v>0</v>
      </c>
      <c r="AA49" s="71">
        <f>0</f>
        <v>0</v>
      </c>
      <c r="AB49" s="71">
        <f>0</f>
        <v>0</v>
      </c>
      <c r="AC49" s="71">
        <f>0</f>
        <v>0</v>
      </c>
      <c r="AD49" s="71">
        <f>0</f>
        <v>0</v>
      </c>
      <c r="AE49" s="71">
        <f>0</f>
        <v>0</v>
      </c>
      <c r="AF49" s="71">
        <f>0</f>
        <v>0</v>
      </c>
      <c r="AG49" s="71">
        <f>0</f>
        <v>0</v>
      </c>
      <c r="AH49" s="71">
        <f>0</f>
        <v>0</v>
      </c>
      <c r="AI49" s="71">
        <f>0</f>
        <v>0</v>
      </c>
      <c r="AJ49" s="71">
        <f>0</f>
        <v>0</v>
      </c>
      <c r="AK49" s="71">
        <f>0</f>
        <v>0</v>
      </c>
      <c r="AL49" s="71">
        <f>0</f>
        <v>0</v>
      </c>
      <c r="AM49" s="71">
        <f>0</f>
        <v>0</v>
      </c>
      <c r="AN49" s="71">
        <f>0</f>
        <v>0</v>
      </c>
      <c r="AO49" s="71">
        <f>0</f>
        <v>0</v>
      </c>
      <c r="AP49" s="71">
        <f>0</f>
        <v>0</v>
      </c>
      <c r="AQ49" s="71">
        <f>0</f>
        <v>0</v>
      </c>
      <c r="AR49" s="71">
        <f>0</f>
        <v>0</v>
      </c>
      <c r="AS49" s="71">
        <f>0</f>
        <v>0</v>
      </c>
      <c r="AT49" s="71">
        <f>0</f>
        <v>0</v>
      </c>
      <c r="AU49" s="71">
        <f>0</f>
        <v>0</v>
      </c>
      <c r="AV49" s="71">
        <f>0</f>
        <v>0</v>
      </c>
      <c r="AW49" s="71">
        <f>0</f>
        <v>0</v>
      </c>
      <c r="AX49" s="71">
        <f>0</f>
        <v>0</v>
      </c>
      <c r="AY49" s="71">
        <f>0</f>
        <v>0</v>
      </c>
      <c r="AZ49" s="71">
        <f>0</f>
        <v>0</v>
      </c>
      <c r="BA49" s="72">
        <f>0</f>
        <v>0</v>
      </c>
      <c r="BB49" s="21"/>
    </row>
    <row r="50" spans="1:54" ht="15" outlineLevel="3">
      <c r="A50" s="244" t="s">
        <v>27</v>
      </c>
      <c r="B50" s="244"/>
      <c r="C50" s="65" t="s">
        <v>168</v>
      </c>
      <c r="D50" s="85"/>
      <c r="E50" s="458" t="s">
        <v>326</v>
      </c>
      <c r="F50" s="103">
        <f>0</f>
        <v>0</v>
      </c>
      <c r="G50" s="103">
        <f>0</f>
        <v>0</v>
      </c>
      <c r="H50" s="103">
        <f>0</f>
        <v>0</v>
      </c>
      <c r="I50" s="103">
        <f>0</f>
        <v>0</v>
      </c>
      <c r="J50" s="103">
        <f>0</f>
        <v>0</v>
      </c>
      <c r="K50" s="68">
        <f>0</f>
        <v>0</v>
      </c>
      <c r="L50" s="68">
        <f>0</f>
        <v>0</v>
      </c>
      <c r="M50" s="69">
        <f>0</f>
        <v>0</v>
      </c>
      <c r="N50" s="70">
        <f>0</f>
        <v>0</v>
      </c>
      <c r="O50" s="71">
        <f>0</f>
        <v>0</v>
      </c>
      <c r="P50" s="71">
        <f>0</f>
        <v>0</v>
      </c>
      <c r="Q50" s="71">
        <f>0</f>
        <v>0</v>
      </c>
      <c r="R50" s="71">
        <f>0</f>
        <v>0</v>
      </c>
      <c r="S50" s="71">
        <f>0</f>
        <v>0</v>
      </c>
      <c r="T50" s="71">
        <f>0</f>
        <v>0</v>
      </c>
      <c r="U50" s="71">
        <f>0</f>
        <v>0</v>
      </c>
      <c r="V50" s="71">
        <f>0</f>
        <v>0</v>
      </c>
      <c r="W50" s="71">
        <f>0</f>
        <v>0</v>
      </c>
      <c r="X50" s="71">
        <f>0</f>
        <v>0</v>
      </c>
      <c r="Y50" s="71">
        <f>0</f>
        <v>0</v>
      </c>
      <c r="Z50" s="71">
        <f>0</f>
        <v>0</v>
      </c>
      <c r="AA50" s="71">
        <f>0</f>
        <v>0</v>
      </c>
      <c r="AB50" s="71">
        <f>0</f>
        <v>0</v>
      </c>
      <c r="AC50" s="71">
        <f>0</f>
        <v>0</v>
      </c>
      <c r="AD50" s="71">
        <f>0</f>
        <v>0</v>
      </c>
      <c r="AE50" s="71">
        <f>0</f>
        <v>0</v>
      </c>
      <c r="AF50" s="71">
        <f>0</f>
        <v>0</v>
      </c>
      <c r="AG50" s="71">
        <f>0</f>
        <v>0</v>
      </c>
      <c r="AH50" s="71">
        <f>0</f>
        <v>0</v>
      </c>
      <c r="AI50" s="71">
        <f>0</f>
        <v>0</v>
      </c>
      <c r="AJ50" s="71">
        <f>0</f>
        <v>0</v>
      </c>
      <c r="AK50" s="71">
        <f>0</f>
        <v>0</v>
      </c>
      <c r="AL50" s="71">
        <f>0</f>
        <v>0</v>
      </c>
      <c r="AM50" s="71">
        <f>0</f>
        <v>0</v>
      </c>
      <c r="AN50" s="71">
        <f>0</f>
        <v>0</v>
      </c>
      <c r="AO50" s="71">
        <f>0</f>
        <v>0</v>
      </c>
      <c r="AP50" s="71">
        <f>0</f>
        <v>0</v>
      </c>
      <c r="AQ50" s="71">
        <f>0</f>
        <v>0</v>
      </c>
      <c r="AR50" s="71">
        <f>0</f>
        <v>0</v>
      </c>
      <c r="AS50" s="71">
        <f>0</f>
        <v>0</v>
      </c>
      <c r="AT50" s="71">
        <f>0</f>
        <v>0</v>
      </c>
      <c r="AU50" s="71">
        <f>0</f>
        <v>0</v>
      </c>
      <c r="AV50" s="71">
        <f>0</f>
        <v>0</v>
      </c>
      <c r="AW50" s="71">
        <f>0</f>
        <v>0</v>
      </c>
      <c r="AX50" s="71">
        <f>0</f>
        <v>0</v>
      </c>
      <c r="AY50" s="71">
        <f>0</f>
        <v>0</v>
      </c>
      <c r="AZ50" s="71">
        <f>0</f>
        <v>0</v>
      </c>
      <c r="BA50" s="72">
        <f>0</f>
        <v>0</v>
      </c>
      <c r="BB50" s="21"/>
    </row>
    <row r="51" spans="1:54" ht="24" outlineLevel="3">
      <c r="A51" s="244"/>
      <c r="B51" s="244"/>
      <c r="C51" s="65" t="s">
        <v>169</v>
      </c>
      <c r="D51" s="85"/>
      <c r="E51" s="458" t="s">
        <v>327</v>
      </c>
      <c r="F51" s="103">
        <f>0</f>
        <v>0</v>
      </c>
      <c r="G51" s="103">
        <f>0</f>
        <v>0</v>
      </c>
      <c r="H51" s="103">
        <f>0</f>
        <v>0</v>
      </c>
      <c r="I51" s="103">
        <f>0</f>
        <v>0</v>
      </c>
      <c r="J51" s="103">
        <f>0</f>
        <v>0</v>
      </c>
      <c r="K51" s="68">
        <f>0</f>
        <v>0</v>
      </c>
      <c r="L51" s="68">
        <f>0</f>
        <v>0</v>
      </c>
      <c r="M51" s="69">
        <f>0</f>
        <v>0</v>
      </c>
      <c r="N51" s="70">
        <f>0</f>
        <v>0</v>
      </c>
      <c r="O51" s="71">
        <f>0</f>
        <v>0</v>
      </c>
      <c r="P51" s="71">
        <f>0</f>
        <v>0</v>
      </c>
      <c r="Q51" s="71">
        <f>0</f>
        <v>0</v>
      </c>
      <c r="R51" s="71">
        <f>0</f>
        <v>0</v>
      </c>
      <c r="S51" s="71">
        <f>0</f>
        <v>0</v>
      </c>
      <c r="T51" s="71">
        <f>0</f>
        <v>0</v>
      </c>
      <c r="U51" s="71">
        <f>0</f>
        <v>0</v>
      </c>
      <c r="V51" s="71">
        <f>0</f>
        <v>0</v>
      </c>
      <c r="W51" s="71">
        <f>0</f>
        <v>0</v>
      </c>
      <c r="X51" s="71">
        <f>0</f>
        <v>0</v>
      </c>
      <c r="Y51" s="71">
        <f>0</f>
        <v>0</v>
      </c>
      <c r="Z51" s="71">
        <f>0</f>
        <v>0</v>
      </c>
      <c r="AA51" s="71">
        <f>0</f>
        <v>0</v>
      </c>
      <c r="AB51" s="71">
        <f>0</f>
        <v>0</v>
      </c>
      <c r="AC51" s="71">
        <f>0</f>
        <v>0</v>
      </c>
      <c r="AD51" s="71">
        <f>0</f>
        <v>0</v>
      </c>
      <c r="AE51" s="71">
        <f>0</f>
        <v>0</v>
      </c>
      <c r="AF51" s="71">
        <f>0</f>
        <v>0</v>
      </c>
      <c r="AG51" s="71">
        <f>0</f>
        <v>0</v>
      </c>
      <c r="AH51" s="71">
        <f>0</f>
        <v>0</v>
      </c>
      <c r="AI51" s="71">
        <f>0</f>
        <v>0</v>
      </c>
      <c r="AJ51" s="71">
        <f>0</f>
        <v>0</v>
      </c>
      <c r="AK51" s="71">
        <f>0</f>
        <v>0</v>
      </c>
      <c r="AL51" s="71">
        <f>0</f>
        <v>0</v>
      </c>
      <c r="AM51" s="71">
        <f>0</f>
        <v>0</v>
      </c>
      <c r="AN51" s="71">
        <f>0</f>
        <v>0</v>
      </c>
      <c r="AO51" s="71">
        <f>0</f>
        <v>0</v>
      </c>
      <c r="AP51" s="71">
        <f>0</f>
        <v>0</v>
      </c>
      <c r="AQ51" s="71">
        <f>0</f>
        <v>0</v>
      </c>
      <c r="AR51" s="71">
        <f>0</f>
        <v>0</v>
      </c>
      <c r="AS51" s="71">
        <f>0</f>
        <v>0</v>
      </c>
      <c r="AT51" s="71">
        <f>0</f>
        <v>0</v>
      </c>
      <c r="AU51" s="71">
        <f>0</f>
        <v>0</v>
      </c>
      <c r="AV51" s="71">
        <f>0</f>
        <v>0</v>
      </c>
      <c r="AW51" s="71">
        <f>0</f>
        <v>0</v>
      </c>
      <c r="AX51" s="71">
        <f>0</f>
        <v>0</v>
      </c>
      <c r="AY51" s="71">
        <f>0</f>
        <v>0</v>
      </c>
      <c r="AZ51" s="71">
        <f>0</f>
        <v>0</v>
      </c>
      <c r="BA51" s="72">
        <f>0</f>
        <v>0</v>
      </c>
      <c r="BB51" s="21"/>
    </row>
    <row r="52" spans="1:54" outlineLevel="4">
      <c r="A52" s="244"/>
      <c r="B52" s="244"/>
      <c r="C52" s="65" t="s">
        <v>274</v>
      </c>
      <c r="D52" s="85"/>
      <c r="E52" s="110" t="s">
        <v>328</v>
      </c>
      <c r="F52" s="103">
        <f>0</f>
        <v>0</v>
      </c>
      <c r="G52" s="103">
        <f>0</f>
        <v>0</v>
      </c>
      <c r="H52" s="103">
        <f>0</f>
        <v>0</v>
      </c>
      <c r="I52" s="103">
        <f>0</f>
        <v>0</v>
      </c>
      <c r="J52" s="103">
        <f>0</f>
        <v>0</v>
      </c>
      <c r="K52" s="68">
        <f>0</f>
        <v>0</v>
      </c>
      <c r="L52" s="68">
        <f>0</f>
        <v>0</v>
      </c>
      <c r="M52" s="69">
        <f>0</f>
        <v>0</v>
      </c>
      <c r="N52" s="70">
        <f>0</f>
        <v>0</v>
      </c>
      <c r="O52" s="71">
        <f>0</f>
        <v>0</v>
      </c>
      <c r="P52" s="71">
        <f>0</f>
        <v>0</v>
      </c>
      <c r="Q52" s="71">
        <f>0</f>
        <v>0</v>
      </c>
      <c r="R52" s="71">
        <f>0</f>
        <v>0</v>
      </c>
      <c r="S52" s="71">
        <f>0</f>
        <v>0</v>
      </c>
      <c r="T52" s="71">
        <f>0</f>
        <v>0</v>
      </c>
      <c r="U52" s="71">
        <f>0</f>
        <v>0</v>
      </c>
      <c r="V52" s="71">
        <f>0</f>
        <v>0</v>
      </c>
      <c r="W52" s="71">
        <f>0</f>
        <v>0</v>
      </c>
      <c r="X52" s="71">
        <f>0</f>
        <v>0</v>
      </c>
      <c r="Y52" s="71">
        <f>0</f>
        <v>0</v>
      </c>
      <c r="Z52" s="71">
        <f>0</f>
        <v>0</v>
      </c>
      <c r="AA52" s="71">
        <f>0</f>
        <v>0</v>
      </c>
      <c r="AB52" s="71">
        <f>0</f>
        <v>0</v>
      </c>
      <c r="AC52" s="71">
        <f>0</f>
        <v>0</v>
      </c>
      <c r="AD52" s="71">
        <f>0</f>
        <v>0</v>
      </c>
      <c r="AE52" s="71">
        <f>0</f>
        <v>0</v>
      </c>
      <c r="AF52" s="71">
        <f>0</f>
        <v>0</v>
      </c>
      <c r="AG52" s="71">
        <f>0</f>
        <v>0</v>
      </c>
      <c r="AH52" s="71">
        <f>0</f>
        <v>0</v>
      </c>
      <c r="AI52" s="71">
        <f>0</f>
        <v>0</v>
      </c>
      <c r="AJ52" s="71">
        <f>0</f>
        <v>0</v>
      </c>
      <c r="AK52" s="71">
        <f>0</f>
        <v>0</v>
      </c>
      <c r="AL52" s="71">
        <f>0</f>
        <v>0</v>
      </c>
      <c r="AM52" s="71">
        <f>0</f>
        <v>0</v>
      </c>
      <c r="AN52" s="71">
        <f>0</f>
        <v>0</v>
      </c>
      <c r="AO52" s="71">
        <f>0</f>
        <v>0</v>
      </c>
      <c r="AP52" s="71">
        <f>0</f>
        <v>0</v>
      </c>
      <c r="AQ52" s="71">
        <f>0</f>
        <v>0</v>
      </c>
      <c r="AR52" s="71">
        <f>0</f>
        <v>0</v>
      </c>
      <c r="AS52" s="71">
        <f>0</f>
        <v>0</v>
      </c>
      <c r="AT52" s="71">
        <f>0</f>
        <v>0</v>
      </c>
      <c r="AU52" s="71">
        <f>0</f>
        <v>0</v>
      </c>
      <c r="AV52" s="71">
        <f>0</f>
        <v>0</v>
      </c>
      <c r="AW52" s="71">
        <f>0</f>
        <v>0</v>
      </c>
      <c r="AX52" s="71">
        <f>0</f>
        <v>0</v>
      </c>
      <c r="AY52" s="71">
        <f>0</f>
        <v>0</v>
      </c>
      <c r="AZ52" s="71">
        <f>0</f>
        <v>0</v>
      </c>
      <c r="BA52" s="72">
        <f>0</f>
        <v>0</v>
      </c>
    </row>
    <row r="53" spans="1:54" outlineLevel="4">
      <c r="A53" s="244"/>
      <c r="B53" s="244"/>
      <c r="C53" s="65" t="s">
        <v>275</v>
      </c>
      <c r="D53" s="85"/>
      <c r="E53" s="110" t="s">
        <v>329</v>
      </c>
      <c r="F53" s="103">
        <f>0</f>
        <v>0</v>
      </c>
      <c r="G53" s="103">
        <f>0</f>
        <v>0</v>
      </c>
      <c r="H53" s="103">
        <f>0</f>
        <v>0</v>
      </c>
      <c r="I53" s="103">
        <f>0</f>
        <v>0</v>
      </c>
      <c r="J53" s="103">
        <f>0</f>
        <v>0</v>
      </c>
      <c r="K53" s="68">
        <f>0</f>
        <v>0</v>
      </c>
      <c r="L53" s="68">
        <f>0</f>
        <v>0</v>
      </c>
      <c r="M53" s="69">
        <f>0</f>
        <v>0</v>
      </c>
      <c r="N53" s="70">
        <f>0</f>
        <v>0</v>
      </c>
      <c r="O53" s="71">
        <f>0</f>
        <v>0</v>
      </c>
      <c r="P53" s="71">
        <f>0</f>
        <v>0</v>
      </c>
      <c r="Q53" s="71">
        <f>0</f>
        <v>0</v>
      </c>
      <c r="R53" s="71">
        <f>0</f>
        <v>0</v>
      </c>
      <c r="S53" s="71">
        <f>0</f>
        <v>0</v>
      </c>
      <c r="T53" s="71">
        <f>0</f>
        <v>0</v>
      </c>
      <c r="U53" s="71">
        <f>0</f>
        <v>0</v>
      </c>
      <c r="V53" s="71">
        <f>0</f>
        <v>0</v>
      </c>
      <c r="W53" s="71">
        <f>0</f>
        <v>0</v>
      </c>
      <c r="X53" s="71">
        <f>0</f>
        <v>0</v>
      </c>
      <c r="Y53" s="71">
        <f>0</f>
        <v>0</v>
      </c>
      <c r="Z53" s="71">
        <f>0</f>
        <v>0</v>
      </c>
      <c r="AA53" s="71">
        <f>0</f>
        <v>0</v>
      </c>
      <c r="AB53" s="71">
        <f>0</f>
        <v>0</v>
      </c>
      <c r="AC53" s="71">
        <f>0</f>
        <v>0</v>
      </c>
      <c r="AD53" s="71">
        <f>0</f>
        <v>0</v>
      </c>
      <c r="AE53" s="71">
        <f>0</f>
        <v>0</v>
      </c>
      <c r="AF53" s="71">
        <f>0</f>
        <v>0</v>
      </c>
      <c r="AG53" s="71">
        <f>0</f>
        <v>0</v>
      </c>
      <c r="AH53" s="71">
        <f>0</f>
        <v>0</v>
      </c>
      <c r="AI53" s="71">
        <f>0</f>
        <v>0</v>
      </c>
      <c r="AJ53" s="71">
        <f>0</f>
        <v>0</v>
      </c>
      <c r="AK53" s="71">
        <f>0</f>
        <v>0</v>
      </c>
      <c r="AL53" s="71">
        <f>0</f>
        <v>0</v>
      </c>
      <c r="AM53" s="71">
        <f>0</f>
        <v>0</v>
      </c>
      <c r="AN53" s="71">
        <f>0</f>
        <v>0</v>
      </c>
      <c r="AO53" s="71">
        <f>0</f>
        <v>0</v>
      </c>
      <c r="AP53" s="71">
        <f>0</f>
        <v>0</v>
      </c>
      <c r="AQ53" s="71">
        <f>0</f>
        <v>0</v>
      </c>
      <c r="AR53" s="71">
        <f>0</f>
        <v>0</v>
      </c>
      <c r="AS53" s="71">
        <f>0</f>
        <v>0</v>
      </c>
      <c r="AT53" s="71">
        <f>0</f>
        <v>0</v>
      </c>
      <c r="AU53" s="71">
        <f>0</f>
        <v>0</v>
      </c>
      <c r="AV53" s="71">
        <f>0</f>
        <v>0</v>
      </c>
      <c r="AW53" s="71">
        <f>0</f>
        <v>0</v>
      </c>
      <c r="AX53" s="71">
        <f>0</f>
        <v>0</v>
      </c>
      <c r="AY53" s="71">
        <f>0</f>
        <v>0</v>
      </c>
      <c r="AZ53" s="71">
        <f>0</f>
        <v>0</v>
      </c>
      <c r="BA53" s="72">
        <f>0</f>
        <v>0</v>
      </c>
    </row>
    <row r="54" spans="1:54" ht="15" outlineLevel="4">
      <c r="A54" s="244"/>
      <c r="B54" s="244"/>
      <c r="C54" s="65" t="s">
        <v>276</v>
      </c>
      <c r="D54" s="85"/>
      <c r="E54" s="110" t="s">
        <v>330</v>
      </c>
      <c r="F54" s="103">
        <f>0</f>
        <v>0</v>
      </c>
      <c r="G54" s="103">
        <f>0</f>
        <v>0</v>
      </c>
      <c r="H54" s="103">
        <f>0</f>
        <v>0</v>
      </c>
      <c r="I54" s="103">
        <f>0</f>
        <v>0</v>
      </c>
      <c r="J54" s="103">
        <f>0</f>
        <v>0</v>
      </c>
      <c r="K54" s="68">
        <f>0</f>
        <v>0</v>
      </c>
      <c r="L54" s="68">
        <f>0</f>
        <v>0</v>
      </c>
      <c r="M54" s="69">
        <f>0</f>
        <v>0</v>
      </c>
      <c r="N54" s="70">
        <f>0</f>
        <v>0</v>
      </c>
      <c r="O54" s="71">
        <f>0</f>
        <v>0</v>
      </c>
      <c r="P54" s="71">
        <f>0</f>
        <v>0</v>
      </c>
      <c r="Q54" s="71">
        <f>0</f>
        <v>0</v>
      </c>
      <c r="R54" s="71">
        <f>0</f>
        <v>0</v>
      </c>
      <c r="S54" s="71">
        <f>0</f>
        <v>0</v>
      </c>
      <c r="T54" s="71">
        <f>0</f>
        <v>0</v>
      </c>
      <c r="U54" s="71">
        <f>0</f>
        <v>0</v>
      </c>
      <c r="V54" s="71">
        <f>0</f>
        <v>0</v>
      </c>
      <c r="W54" s="71">
        <f>0</f>
        <v>0</v>
      </c>
      <c r="X54" s="71">
        <f>0</f>
        <v>0</v>
      </c>
      <c r="Y54" s="71">
        <f>0</f>
        <v>0</v>
      </c>
      <c r="Z54" s="71">
        <f>0</f>
        <v>0</v>
      </c>
      <c r="AA54" s="71">
        <f>0</f>
        <v>0</v>
      </c>
      <c r="AB54" s="71">
        <f>0</f>
        <v>0</v>
      </c>
      <c r="AC54" s="71">
        <f>0</f>
        <v>0</v>
      </c>
      <c r="AD54" s="71">
        <f>0</f>
        <v>0</v>
      </c>
      <c r="AE54" s="71">
        <f>0</f>
        <v>0</v>
      </c>
      <c r="AF54" s="71">
        <f>0</f>
        <v>0</v>
      </c>
      <c r="AG54" s="71">
        <f>0</f>
        <v>0</v>
      </c>
      <c r="AH54" s="71">
        <f>0</f>
        <v>0</v>
      </c>
      <c r="AI54" s="71">
        <f>0</f>
        <v>0</v>
      </c>
      <c r="AJ54" s="71">
        <f>0</f>
        <v>0</v>
      </c>
      <c r="AK54" s="71">
        <f>0</f>
        <v>0</v>
      </c>
      <c r="AL54" s="71">
        <f>0</f>
        <v>0</v>
      </c>
      <c r="AM54" s="71">
        <f>0</f>
        <v>0</v>
      </c>
      <c r="AN54" s="71">
        <f>0</f>
        <v>0</v>
      </c>
      <c r="AO54" s="71">
        <f>0</f>
        <v>0</v>
      </c>
      <c r="AP54" s="71">
        <f>0</f>
        <v>0</v>
      </c>
      <c r="AQ54" s="71">
        <f>0</f>
        <v>0</v>
      </c>
      <c r="AR54" s="71">
        <f>0</f>
        <v>0</v>
      </c>
      <c r="AS54" s="71">
        <f>0</f>
        <v>0</v>
      </c>
      <c r="AT54" s="71">
        <f>0</f>
        <v>0</v>
      </c>
      <c r="AU54" s="71">
        <f>0</f>
        <v>0</v>
      </c>
      <c r="AV54" s="71">
        <f>0</f>
        <v>0</v>
      </c>
      <c r="AW54" s="71">
        <f>0</f>
        <v>0</v>
      </c>
      <c r="AX54" s="71">
        <f>0</f>
        <v>0</v>
      </c>
      <c r="AY54" s="71">
        <f>0</f>
        <v>0</v>
      </c>
      <c r="AZ54" s="71">
        <f>0</f>
        <v>0</v>
      </c>
      <c r="BA54" s="72">
        <f>0</f>
        <v>0</v>
      </c>
      <c r="BB54" s="21"/>
    </row>
    <row r="55" spans="1:54" s="246" customFormat="1" ht="24" outlineLevel="4">
      <c r="A55" s="244"/>
      <c r="B55" s="244"/>
      <c r="C55" s="65" t="s">
        <v>583</v>
      </c>
      <c r="D55" s="85"/>
      <c r="E55" s="458" t="s">
        <v>645</v>
      </c>
      <c r="F55" s="103">
        <f>0</f>
        <v>0</v>
      </c>
      <c r="G55" s="103">
        <f>0</f>
        <v>0</v>
      </c>
      <c r="H55" s="103">
        <f>0</f>
        <v>0</v>
      </c>
      <c r="I55" s="103">
        <f>0</f>
        <v>0</v>
      </c>
      <c r="J55" s="103">
        <f>0</f>
        <v>0</v>
      </c>
      <c r="K55" s="68">
        <f>0</f>
        <v>0</v>
      </c>
      <c r="L55" s="68">
        <f>0</f>
        <v>0</v>
      </c>
      <c r="M55" s="69">
        <f>0</f>
        <v>0</v>
      </c>
      <c r="N55" s="70">
        <f>0</f>
        <v>0</v>
      </c>
      <c r="O55" s="71">
        <f>0</f>
        <v>0</v>
      </c>
      <c r="P55" s="71">
        <f>0</f>
        <v>0</v>
      </c>
      <c r="Q55" s="71">
        <f>0</f>
        <v>0</v>
      </c>
      <c r="R55" s="71">
        <f>0</f>
        <v>0</v>
      </c>
      <c r="S55" s="71">
        <f>0</f>
        <v>0</v>
      </c>
      <c r="T55" s="71">
        <f>0</f>
        <v>0</v>
      </c>
      <c r="U55" s="71">
        <f>0</f>
        <v>0</v>
      </c>
      <c r="V55" s="71">
        <f>0</f>
        <v>0</v>
      </c>
      <c r="W55" s="71">
        <f>0</f>
        <v>0</v>
      </c>
      <c r="X55" s="71">
        <f>0</f>
        <v>0</v>
      </c>
      <c r="Y55" s="71">
        <f>0</f>
        <v>0</v>
      </c>
      <c r="Z55" s="71">
        <f>0</f>
        <v>0</v>
      </c>
      <c r="AA55" s="71">
        <f>0</f>
        <v>0</v>
      </c>
      <c r="AB55" s="71">
        <f>0</f>
        <v>0</v>
      </c>
      <c r="AC55" s="71">
        <f>0</f>
        <v>0</v>
      </c>
      <c r="AD55" s="71">
        <f>0</f>
        <v>0</v>
      </c>
      <c r="AE55" s="71">
        <f>0</f>
        <v>0</v>
      </c>
      <c r="AF55" s="71">
        <f>0</f>
        <v>0</v>
      </c>
      <c r="AG55" s="71">
        <f>0</f>
        <v>0</v>
      </c>
      <c r="AH55" s="71">
        <f>0</f>
        <v>0</v>
      </c>
      <c r="AI55" s="71">
        <f>0</f>
        <v>0</v>
      </c>
      <c r="AJ55" s="71">
        <f>0</f>
        <v>0</v>
      </c>
      <c r="AK55" s="71">
        <f>0</f>
        <v>0</v>
      </c>
      <c r="AL55" s="71">
        <f>0</f>
        <v>0</v>
      </c>
      <c r="AM55" s="71">
        <f>0</f>
        <v>0</v>
      </c>
      <c r="AN55" s="71">
        <f>0</f>
        <v>0</v>
      </c>
      <c r="AO55" s="71">
        <f>0</f>
        <v>0</v>
      </c>
      <c r="AP55" s="71">
        <f>0</f>
        <v>0</v>
      </c>
      <c r="AQ55" s="71">
        <f>0</f>
        <v>0</v>
      </c>
      <c r="AR55" s="71">
        <f>0</f>
        <v>0</v>
      </c>
      <c r="AS55" s="71">
        <f>0</f>
        <v>0</v>
      </c>
      <c r="AT55" s="71">
        <f>0</f>
        <v>0</v>
      </c>
      <c r="AU55" s="71">
        <f>0</f>
        <v>0</v>
      </c>
      <c r="AV55" s="71">
        <f>0</f>
        <v>0</v>
      </c>
      <c r="AW55" s="71">
        <f>0</f>
        <v>0</v>
      </c>
      <c r="AX55" s="71">
        <f>0</f>
        <v>0</v>
      </c>
      <c r="AY55" s="71">
        <f>0</f>
        <v>0</v>
      </c>
      <c r="AZ55" s="71">
        <f>0</f>
        <v>0</v>
      </c>
      <c r="BA55" s="72">
        <f>0</f>
        <v>0</v>
      </c>
      <c r="BB55" s="21"/>
    </row>
    <row r="56" spans="1:54" outlineLevel="1">
      <c r="A56" s="244"/>
      <c r="B56" s="244"/>
      <c r="C56" s="65" t="s">
        <v>60</v>
      </c>
      <c r="D56" s="85"/>
      <c r="E56" s="447" t="s">
        <v>94</v>
      </c>
      <c r="F56" s="103">
        <f>0</f>
        <v>0</v>
      </c>
      <c r="G56" s="103">
        <f>0</f>
        <v>0</v>
      </c>
      <c r="H56" s="103">
        <f>0</f>
        <v>0</v>
      </c>
      <c r="I56" s="103">
        <f>0</f>
        <v>0</v>
      </c>
      <c r="J56" s="103">
        <f>0</f>
        <v>0</v>
      </c>
      <c r="K56" s="68">
        <f>0</f>
        <v>0</v>
      </c>
      <c r="L56" s="68">
        <f>90000</f>
        <v>90000</v>
      </c>
      <c r="M56" s="69">
        <f>312000</f>
        <v>312000</v>
      </c>
      <c r="N56" s="70">
        <f>0</f>
        <v>0</v>
      </c>
      <c r="O56" s="71">
        <f>0</f>
        <v>0</v>
      </c>
      <c r="P56" s="71">
        <f>0</f>
        <v>0</v>
      </c>
      <c r="Q56" s="71">
        <f>0</f>
        <v>0</v>
      </c>
      <c r="R56" s="71">
        <f>0</f>
        <v>0</v>
      </c>
      <c r="S56" s="71">
        <f>0</f>
        <v>0</v>
      </c>
      <c r="T56" s="71">
        <f>0</f>
        <v>0</v>
      </c>
      <c r="U56" s="71">
        <f>0</f>
        <v>0</v>
      </c>
      <c r="V56" s="71">
        <f>0</f>
        <v>0</v>
      </c>
      <c r="W56" s="71">
        <f>0</f>
        <v>0</v>
      </c>
      <c r="X56" s="71">
        <f>0</f>
        <v>0</v>
      </c>
      <c r="Y56" s="71">
        <f>0</f>
        <v>0</v>
      </c>
      <c r="Z56" s="71">
        <f>0</f>
        <v>0</v>
      </c>
      <c r="AA56" s="71">
        <f>0</f>
        <v>0</v>
      </c>
      <c r="AB56" s="71">
        <f>0</f>
        <v>0</v>
      </c>
      <c r="AC56" s="71">
        <f>0</f>
        <v>0</v>
      </c>
      <c r="AD56" s="71">
        <f>0</f>
        <v>0</v>
      </c>
      <c r="AE56" s="71">
        <f>0</f>
        <v>0</v>
      </c>
      <c r="AF56" s="71">
        <f>0</f>
        <v>0</v>
      </c>
      <c r="AG56" s="71">
        <f>0</f>
        <v>0</v>
      </c>
      <c r="AH56" s="71">
        <f>0</f>
        <v>0</v>
      </c>
      <c r="AI56" s="71">
        <f>0</f>
        <v>0</v>
      </c>
      <c r="AJ56" s="71">
        <f>0</f>
        <v>0</v>
      </c>
      <c r="AK56" s="71">
        <f>0</f>
        <v>0</v>
      </c>
      <c r="AL56" s="71">
        <f>0</f>
        <v>0</v>
      </c>
      <c r="AM56" s="71">
        <f>0</f>
        <v>0</v>
      </c>
      <c r="AN56" s="71">
        <f>0</f>
        <v>0</v>
      </c>
      <c r="AO56" s="71">
        <f>0</f>
        <v>0</v>
      </c>
      <c r="AP56" s="71">
        <f>0</f>
        <v>0</v>
      </c>
      <c r="AQ56" s="71">
        <f>0</f>
        <v>0</v>
      </c>
      <c r="AR56" s="71">
        <f>0</f>
        <v>0</v>
      </c>
      <c r="AS56" s="71">
        <f>0</f>
        <v>0</v>
      </c>
      <c r="AT56" s="71">
        <f>0</f>
        <v>0</v>
      </c>
      <c r="AU56" s="71">
        <f>0</f>
        <v>0</v>
      </c>
      <c r="AV56" s="71">
        <f>0</f>
        <v>0</v>
      </c>
      <c r="AW56" s="71">
        <f>0</f>
        <v>0</v>
      </c>
      <c r="AX56" s="71">
        <f>0</f>
        <v>0</v>
      </c>
      <c r="AY56" s="71">
        <f>0</f>
        <v>0</v>
      </c>
      <c r="AZ56" s="71">
        <f>0</f>
        <v>0</v>
      </c>
      <c r="BA56" s="72">
        <f>0</f>
        <v>0</v>
      </c>
    </row>
    <row r="57" spans="1:54">
      <c r="A57" s="244" t="s">
        <v>27</v>
      </c>
      <c r="B57" s="244"/>
      <c r="C57" s="98" t="s">
        <v>371</v>
      </c>
      <c r="D57" s="85" t="s">
        <v>362</v>
      </c>
      <c r="E57" s="111" t="s">
        <v>219</v>
      </c>
      <c r="F57" s="104">
        <f>0</f>
        <v>0</v>
      </c>
      <c r="G57" s="104">
        <f>0</f>
        <v>0</v>
      </c>
      <c r="H57" s="104">
        <f>0</f>
        <v>0</v>
      </c>
      <c r="I57" s="104">
        <f>0</f>
        <v>0</v>
      </c>
      <c r="J57" s="104">
        <f>11915000</f>
        <v>11915000</v>
      </c>
      <c r="K57" s="66">
        <f>11915000</f>
        <v>11915000</v>
      </c>
      <c r="L57" s="66">
        <f>11915000</f>
        <v>11915000</v>
      </c>
      <c r="M57" s="67">
        <f>11915000</f>
        <v>11915000</v>
      </c>
      <c r="N57" s="23">
        <f>18415000</f>
        <v>18415000</v>
      </c>
      <c r="O57" s="24">
        <f>17415000</f>
        <v>17415000</v>
      </c>
      <c r="P57" s="24">
        <f>15500000</f>
        <v>15500000</v>
      </c>
      <c r="Q57" s="24">
        <f>13500000</f>
        <v>13500000</v>
      </c>
      <c r="R57" s="24">
        <f>11500000</f>
        <v>11500000</v>
      </c>
      <c r="S57" s="24">
        <f>9500000</f>
        <v>9500000</v>
      </c>
      <c r="T57" s="24">
        <f>8000000</f>
        <v>8000000</v>
      </c>
      <c r="U57" s="24">
        <f>6500000</f>
        <v>6500000</v>
      </c>
      <c r="V57" s="24">
        <f>5000000</f>
        <v>5000000</v>
      </c>
      <c r="W57" s="24">
        <f>3500000</f>
        <v>3500000</v>
      </c>
      <c r="X57" s="24">
        <f>1750000</f>
        <v>1750000</v>
      </c>
      <c r="Y57" s="24">
        <f>0</f>
        <v>0</v>
      </c>
      <c r="Z57" s="24">
        <f>0</f>
        <v>0</v>
      </c>
      <c r="AA57" s="24">
        <f>0</f>
        <v>0</v>
      </c>
      <c r="AB57" s="24">
        <f>0</f>
        <v>0</v>
      </c>
      <c r="AC57" s="24">
        <f>0</f>
        <v>0</v>
      </c>
      <c r="AD57" s="24">
        <f>0</f>
        <v>0</v>
      </c>
      <c r="AE57" s="24">
        <f>0</f>
        <v>0</v>
      </c>
      <c r="AF57" s="24">
        <f>0</f>
        <v>0</v>
      </c>
      <c r="AG57" s="24">
        <f>0</f>
        <v>0</v>
      </c>
      <c r="AH57" s="24">
        <f>0</f>
        <v>0</v>
      </c>
      <c r="AI57" s="24">
        <f>0</f>
        <v>0</v>
      </c>
      <c r="AJ57" s="24">
        <f>0</f>
        <v>0</v>
      </c>
      <c r="AK57" s="24">
        <f>0</f>
        <v>0</v>
      </c>
      <c r="AL57" s="24">
        <f>0</f>
        <v>0</v>
      </c>
      <c r="AM57" s="24">
        <f>0</f>
        <v>0</v>
      </c>
      <c r="AN57" s="24">
        <f>0</f>
        <v>0</v>
      </c>
      <c r="AO57" s="24">
        <f>0</f>
        <v>0</v>
      </c>
      <c r="AP57" s="24">
        <f>0</f>
        <v>0</v>
      </c>
      <c r="AQ57" s="24">
        <f>0</f>
        <v>0</v>
      </c>
      <c r="AR57" s="24">
        <f>0</f>
        <v>0</v>
      </c>
      <c r="AS57" s="24">
        <f>0</f>
        <v>0</v>
      </c>
      <c r="AT57" s="24">
        <f>0</f>
        <v>0</v>
      </c>
      <c r="AU57" s="24">
        <f>0</f>
        <v>0</v>
      </c>
      <c r="AV57" s="24">
        <f>0</f>
        <v>0</v>
      </c>
      <c r="AW57" s="24">
        <f>0</f>
        <v>0</v>
      </c>
      <c r="AX57" s="24">
        <f>0</f>
        <v>0</v>
      </c>
      <c r="AY57" s="24">
        <f>0</f>
        <v>0</v>
      </c>
      <c r="AZ57" s="24">
        <f>0</f>
        <v>0</v>
      </c>
      <c r="BA57" s="25">
        <f>0</f>
        <v>0</v>
      </c>
    </row>
    <row r="58" spans="1:54" outlineLevel="1">
      <c r="A58" s="244" t="s">
        <v>27</v>
      </c>
      <c r="B58" s="244"/>
      <c r="C58" s="65" t="s">
        <v>61</v>
      </c>
      <c r="D58" s="85"/>
      <c r="E58" s="447" t="s">
        <v>331</v>
      </c>
      <c r="F58" s="103">
        <f>0</f>
        <v>0</v>
      </c>
      <c r="G58" s="103">
        <f>0</f>
        <v>0</v>
      </c>
      <c r="H58" s="103">
        <f>0</f>
        <v>0</v>
      </c>
      <c r="I58" s="103">
        <f>0</f>
        <v>0</v>
      </c>
      <c r="J58" s="103">
        <f>0</f>
        <v>0</v>
      </c>
      <c r="K58" s="68">
        <f>0</f>
        <v>0</v>
      </c>
      <c r="L58" s="68">
        <f>0</f>
        <v>0</v>
      </c>
      <c r="M58" s="69">
        <f>0</f>
        <v>0</v>
      </c>
      <c r="N58" s="70">
        <f>0</f>
        <v>0</v>
      </c>
      <c r="O58" s="71">
        <f>0</f>
        <v>0</v>
      </c>
      <c r="P58" s="71">
        <f>0</f>
        <v>0</v>
      </c>
      <c r="Q58" s="71">
        <f>0</f>
        <v>0</v>
      </c>
      <c r="R58" s="71">
        <f>0</f>
        <v>0</v>
      </c>
      <c r="S58" s="71">
        <f>0</f>
        <v>0</v>
      </c>
      <c r="T58" s="71">
        <f>0</f>
        <v>0</v>
      </c>
      <c r="U58" s="71">
        <f>0</f>
        <v>0</v>
      </c>
      <c r="V58" s="71">
        <f>0</f>
        <v>0</v>
      </c>
      <c r="W58" s="71">
        <f>0</f>
        <v>0</v>
      </c>
      <c r="X58" s="71">
        <f>0</f>
        <v>0</v>
      </c>
      <c r="Y58" s="71">
        <f>0</f>
        <v>0</v>
      </c>
      <c r="Z58" s="71">
        <f>0</f>
        <v>0</v>
      </c>
      <c r="AA58" s="71">
        <f>0</f>
        <v>0</v>
      </c>
      <c r="AB58" s="71">
        <f>0</f>
        <v>0</v>
      </c>
      <c r="AC58" s="71">
        <f>0</f>
        <v>0</v>
      </c>
      <c r="AD58" s="71">
        <f>0</f>
        <v>0</v>
      </c>
      <c r="AE58" s="71">
        <f>0</f>
        <v>0</v>
      </c>
      <c r="AF58" s="71">
        <f>0</f>
        <v>0</v>
      </c>
      <c r="AG58" s="71">
        <f>0</f>
        <v>0</v>
      </c>
      <c r="AH58" s="71">
        <f>0</f>
        <v>0</v>
      </c>
      <c r="AI58" s="71">
        <f>0</f>
        <v>0</v>
      </c>
      <c r="AJ58" s="71">
        <f>0</f>
        <v>0</v>
      </c>
      <c r="AK58" s="71">
        <f>0</f>
        <v>0</v>
      </c>
      <c r="AL58" s="71">
        <f>0</f>
        <v>0</v>
      </c>
      <c r="AM58" s="71">
        <f>0</f>
        <v>0</v>
      </c>
      <c r="AN58" s="71">
        <f>0</f>
        <v>0</v>
      </c>
      <c r="AO58" s="71">
        <f>0</f>
        <v>0</v>
      </c>
      <c r="AP58" s="71">
        <f>0</f>
        <v>0</v>
      </c>
      <c r="AQ58" s="71">
        <f>0</f>
        <v>0</v>
      </c>
      <c r="AR58" s="71">
        <f>0</f>
        <v>0</v>
      </c>
      <c r="AS58" s="71">
        <f>0</f>
        <v>0</v>
      </c>
      <c r="AT58" s="71">
        <f>0</f>
        <v>0</v>
      </c>
      <c r="AU58" s="71">
        <f>0</f>
        <v>0</v>
      </c>
      <c r="AV58" s="71">
        <f>0</f>
        <v>0</v>
      </c>
      <c r="AW58" s="71">
        <f>0</f>
        <v>0</v>
      </c>
      <c r="AX58" s="71">
        <f>0</f>
        <v>0</v>
      </c>
      <c r="AY58" s="71">
        <f>0</f>
        <v>0</v>
      </c>
      <c r="AZ58" s="71">
        <f>0</f>
        <v>0</v>
      </c>
      <c r="BA58" s="72">
        <f>0</f>
        <v>0</v>
      </c>
    </row>
    <row r="59" spans="1:54">
      <c r="A59" s="244" t="s">
        <v>27</v>
      </c>
      <c r="B59" s="244" t="s">
        <v>27</v>
      </c>
      <c r="C59" s="22">
        <v>7</v>
      </c>
      <c r="D59" s="85"/>
      <c r="E59" s="111" t="s">
        <v>62</v>
      </c>
      <c r="F59" s="105" t="s">
        <v>27</v>
      </c>
      <c r="G59" s="105" t="s">
        <v>27</v>
      </c>
      <c r="H59" s="105" t="s">
        <v>27</v>
      </c>
      <c r="I59" s="105" t="s">
        <v>27</v>
      </c>
      <c r="J59" s="105" t="s">
        <v>27</v>
      </c>
      <c r="K59" s="75" t="s">
        <v>27</v>
      </c>
      <c r="L59" s="75" t="s">
        <v>27</v>
      </c>
      <c r="M59" s="76" t="s">
        <v>27</v>
      </c>
      <c r="N59" s="77" t="s">
        <v>27</v>
      </c>
      <c r="O59" s="78" t="s">
        <v>27</v>
      </c>
      <c r="P59" s="78" t="s">
        <v>27</v>
      </c>
      <c r="Q59" s="78" t="s">
        <v>27</v>
      </c>
      <c r="R59" s="78" t="s">
        <v>27</v>
      </c>
      <c r="S59" s="78" t="s">
        <v>27</v>
      </c>
      <c r="T59" s="78" t="s">
        <v>27</v>
      </c>
      <c r="U59" s="78" t="s">
        <v>27</v>
      </c>
      <c r="V59" s="78" t="s">
        <v>27</v>
      </c>
      <c r="W59" s="78" t="s">
        <v>27</v>
      </c>
      <c r="X59" s="78" t="s">
        <v>27</v>
      </c>
      <c r="Y59" s="78" t="s">
        <v>27</v>
      </c>
      <c r="Z59" s="78" t="s">
        <v>27</v>
      </c>
      <c r="AA59" s="78" t="s">
        <v>27</v>
      </c>
      <c r="AB59" s="78" t="s">
        <v>27</v>
      </c>
      <c r="AC59" s="78" t="s">
        <v>27</v>
      </c>
      <c r="AD59" s="78" t="s">
        <v>27</v>
      </c>
      <c r="AE59" s="78" t="s">
        <v>27</v>
      </c>
      <c r="AF59" s="78" t="s">
        <v>27</v>
      </c>
      <c r="AG59" s="78" t="s">
        <v>27</v>
      </c>
      <c r="AH59" s="78" t="s">
        <v>27</v>
      </c>
      <c r="AI59" s="78" t="s">
        <v>27</v>
      </c>
      <c r="AJ59" s="78" t="s">
        <v>27</v>
      </c>
      <c r="AK59" s="78" t="s">
        <v>27</v>
      </c>
      <c r="AL59" s="78" t="s">
        <v>27</v>
      </c>
      <c r="AM59" s="78" t="s">
        <v>27</v>
      </c>
      <c r="AN59" s="78" t="s">
        <v>27</v>
      </c>
      <c r="AO59" s="78" t="s">
        <v>27</v>
      </c>
      <c r="AP59" s="78" t="s">
        <v>27</v>
      </c>
      <c r="AQ59" s="78" t="s">
        <v>27</v>
      </c>
      <c r="AR59" s="78" t="s">
        <v>27</v>
      </c>
      <c r="AS59" s="78" t="s">
        <v>27</v>
      </c>
      <c r="AT59" s="78" t="s">
        <v>27</v>
      </c>
      <c r="AU59" s="78" t="s">
        <v>27</v>
      </c>
      <c r="AV59" s="78" t="s">
        <v>27</v>
      </c>
      <c r="AW59" s="78" t="s">
        <v>27</v>
      </c>
      <c r="AX59" s="78" t="s">
        <v>27</v>
      </c>
      <c r="AY59" s="78" t="s">
        <v>27</v>
      </c>
      <c r="AZ59" s="78" t="s">
        <v>27</v>
      </c>
      <c r="BA59" s="79" t="s">
        <v>27</v>
      </c>
    </row>
    <row r="60" spans="1:54" outlineLevel="1">
      <c r="A60" s="244" t="s">
        <v>27</v>
      </c>
      <c r="B60" s="244" t="s">
        <v>27</v>
      </c>
      <c r="C60" s="73" t="s">
        <v>301</v>
      </c>
      <c r="D60" s="85" t="s">
        <v>367</v>
      </c>
      <c r="E60" s="454" t="s">
        <v>102</v>
      </c>
      <c r="F60" s="103">
        <f>2352561.5</f>
        <v>2352561.5</v>
      </c>
      <c r="G60" s="103">
        <f>4353198.48</f>
        <v>4353198.4800000004</v>
      </c>
      <c r="H60" s="103">
        <f>3565984.06</f>
        <v>3565984.06</v>
      </c>
      <c r="I60" s="103">
        <f>4245842.47</f>
        <v>4245842.47</v>
      </c>
      <c r="J60" s="103">
        <f>5872693.07</f>
        <v>5872693.0700000003</v>
      </c>
      <c r="K60" s="68">
        <f>4586950.83</f>
        <v>4586950.83</v>
      </c>
      <c r="L60" s="68">
        <f>2120038</f>
        <v>2120038</v>
      </c>
      <c r="M60" s="69">
        <f>8749720.26</f>
        <v>8749720.2599999998</v>
      </c>
      <c r="N60" s="70">
        <f>1058265</f>
        <v>1058265</v>
      </c>
      <c r="O60" s="71">
        <f>1904854</f>
        <v>1904854</v>
      </c>
      <c r="P60" s="71">
        <f>2445284</f>
        <v>2445284</v>
      </c>
      <c r="Q60" s="71">
        <f>3113533</f>
        <v>3113533</v>
      </c>
      <c r="R60" s="71">
        <f>3816905</f>
        <v>3816905</v>
      </c>
      <c r="S60" s="71">
        <f>4498543</f>
        <v>4498543</v>
      </c>
      <c r="T60" s="71">
        <f>5146159</f>
        <v>5146159</v>
      </c>
      <c r="U60" s="71">
        <f>5690393</f>
        <v>5690393</v>
      </c>
      <c r="V60" s="71">
        <f>6126926</f>
        <v>6126926</v>
      </c>
      <c r="W60" s="71">
        <f>6514120</f>
        <v>6514120</v>
      </c>
      <c r="X60" s="71">
        <f>6861826</f>
        <v>6861826</v>
      </c>
      <c r="Y60" s="71">
        <f>7165107</f>
        <v>7165107</v>
      </c>
      <c r="Z60" s="71">
        <f>0</f>
        <v>0</v>
      </c>
      <c r="AA60" s="71">
        <f>0</f>
        <v>0</v>
      </c>
      <c r="AB60" s="71">
        <f>0</f>
        <v>0</v>
      </c>
      <c r="AC60" s="71">
        <f>0</f>
        <v>0</v>
      </c>
      <c r="AD60" s="71">
        <f>0</f>
        <v>0</v>
      </c>
      <c r="AE60" s="71">
        <f>0</f>
        <v>0</v>
      </c>
      <c r="AF60" s="71">
        <f>0</f>
        <v>0</v>
      </c>
      <c r="AG60" s="71">
        <f>0</f>
        <v>0</v>
      </c>
      <c r="AH60" s="71">
        <f>0</f>
        <v>0</v>
      </c>
      <c r="AI60" s="71">
        <f>0</f>
        <v>0</v>
      </c>
      <c r="AJ60" s="71">
        <f>0</f>
        <v>0</v>
      </c>
      <c r="AK60" s="71">
        <f>0</f>
        <v>0</v>
      </c>
      <c r="AL60" s="71">
        <f>0</f>
        <v>0</v>
      </c>
      <c r="AM60" s="71">
        <f>0</f>
        <v>0</v>
      </c>
      <c r="AN60" s="71">
        <f>0</f>
        <v>0</v>
      </c>
      <c r="AO60" s="71">
        <f>0</f>
        <v>0</v>
      </c>
      <c r="AP60" s="71">
        <f>0</f>
        <v>0</v>
      </c>
      <c r="AQ60" s="71">
        <f>0</f>
        <v>0</v>
      </c>
      <c r="AR60" s="71">
        <f>0</f>
        <v>0</v>
      </c>
      <c r="AS60" s="71">
        <f>0</f>
        <v>0</v>
      </c>
      <c r="AT60" s="71">
        <f>0</f>
        <v>0</v>
      </c>
      <c r="AU60" s="71">
        <f>0</f>
        <v>0</v>
      </c>
      <c r="AV60" s="71">
        <f>0</f>
        <v>0</v>
      </c>
      <c r="AW60" s="71">
        <f>0</f>
        <v>0</v>
      </c>
      <c r="AX60" s="71">
        <f>0</f>
        <v>0</v>
      </c>
      <c r="AY60" s="71">
        <f>0</f>
        <v>0</v>
      </c>
      <c r="AZ60" s="71">
        <f>0</f>
        <v>0</v>
      </c>
      <c r="BA60" s="72">
        <f>0</f>
        <v>0</v>
      </c>
      <c r="BB60" s="27"/>
    </row>
    <row r="61" spans="1:54" outlineLevel="1">
      <c r="A61" s="244" t="s">
        <v>27</v>
      </c>
      <c r="B61" s="244" t="s">
        <v>27</v>
      </c>
      <c r="C61" s="65" t="s">
        <v>302</v>
      </c>
      <c r="D61" s="85"/>
      <c r="E61" s="447" t="s">
        <v>544</v>
      </c>
      <c r="F61" s="103">
        <f>2352561.5</f>
        <v>2352561.5</v>
      </c>
      <c r="G61" s="103">
        <f>4353198.48</f>
        <v>4353198.4800000004</v>
      </c>
      <c r="H61" s="103">
        <f>3565984.06</f>
        <v>3565984.06</v>
      </c>
      <c r="I61" s="103">
        <f>4245842.47</f>
        <v>4245842.47</v>
      </c>
      <c r="J61" s="103">
        <f>7572121.63</f>
        <v>7572121.6299999999</v>
      </c>
      <c r="K61" s="68">
        <f>11493498.46</f>
        <v>11493498.460000001</v>
      </c>
      <c r="L61" s="68">
        <f>12710038</f>
        <v>12710038</v>
      </c>
      <c r="M61" s="69">
        <f>19381193.1</f>
        <v>19381193.100000001</v>
      </c>
      <c r="N61" s="70">
        <f>9220803</f>
        <v>9220803</v>
      </c>
      <c r="O61" s="71">
        <f>1904854</f>
        <v>1904854</v>
      </c>
      <c r="P61" s="71">
        <f>2445284</f>
        <v>2445284</v>
      </c>
      <c r="Q61" s="71">
        <f>3113533</f>
        <v>3113533</v>
      </c>
      <c r="R61" s="71">
        <f>3816905</f>
        <v>3816905</v>
      </c>
      <c r="S61" s="71">
        <f>4498543</f>
        <v>4498543</v>
      </c>
      <c r="T61" s="71">
        <f>5146159</f>
        <v>5146159</v>
      </c>
      <c r="U61" s="71">
        <f>5690393</f>
        <v>5690393</v>
      </c>
      <c r="V61" s="71">
        <f>6126926</f>
        <v>6126926</v>
      </c>
      <c r="W61" s="71">
        <f>6514120</f>
        <v>6514120</v>
      </c>
      <c r="X61" s="71">
        <f>6861826</f>
        <v>6861826</v>
      </c>
      <c r="Y61" s="71">
        <f>7165107</f>
        <v>7165107</v>
      </c>
      <c r="Z61" s="71">
        <f>0</f>
        <v>0</v>
      </c>
      <c r="AA61" s="71">
        <f>0</f>
        <v>0</v>
      </c>
      <c r="AB61" s="71">
        <f>0</f>
        <v>0</v>
      </c>
      <c r="AC61" s="71">
        <f>0</f>
        <v>0</v>
      </c>
      <c r="AD61" s="71">
        <f>0</f>
        <v>0</v>
      </c>
      <c r="AE61" s="71">
        <f>0</f>
        <v>0</v>
      </c>
      <c r="AF61" s="71">
        <f>0</f>
        <v>0</v>
      </c>
      <c r="AG61" s="71">
        <f>0</f>
        <v>0</v>
      </c>
      <c r="AH61" s="71">
        <f>0</f>
        <v>0</v>
      </c>
      <c r="AI61" s="71">
        <f>0</f>
        <v>0</v>
      </c>
      <c r="AJ61" s="71">
        <f>0</f>
        <v>0</v>
      </c>
      <c r="AK61" s="71">
        <f>0</f>
        <v>0</v>
      </c>
      <c r="AL61" s="71">
        <f>0</f>
        <v>0</v>
      </c>
      <c r="AM61" s="71">
        <f>0</f>
        <v>0</v>
      </c>
      <c r="AN61" s="71">
        <f>0</f>
        <v>0</v>
      </c>
      <c r="AO61" s="71">
        <f>0</f>
        <v>0</v>
      </c>
      <c r="AP61" s="71">
        <f>0</f>
        <v>0</v>
      </c>
      <c r="AQ61" s="71">
        <f>0</f>
        <v>0</v>
      </c>
      <c r="AR61" s="71">
        <f>0</f>
        <v>0</v>
      </c>
      <c r="AS61" s="71">
        <f>0</f>
        <v>0</v>
      </c>
      <c r="AT61" s="71">
        <f>0</f>
        <v>0</v>
      </c>
      <c r="AU61" s="71">
        <f>0</f>
        <v>0</v>
      </c>
      <c r="AV61" s="71">
        <f>0</f>
        <v>0</v>
      </c>
      <c r="AW61" s="71">
        <f>0</f>
        <v>0</v>
      </c>
      <c r="AX61" s="71">
        <f>0</f>
        <v>0</v>
      </c>
      <c r="AY61" s="71">
        <f>0</f>
        <v>0</v>
      </c>
      <c r="AZ61" s="71">
        <f>0</f>
        <v>0</v>
      </c>
      <c r="BA61" s="72">
        <f>0</f>
        <v>0</v>
      </c>
      <c r="BB61" s="27"/>
    </row>
    <row r="62" spans="1:54">
      <c r="A62" s="244" t="s">
        <v>27</v>
      </c>
      <c r="B62" s="244" t="s">
        <v>27</v>
      </c>
      <c r="C62" s="22">
        <v>8</v>
      </c>
      <c r="D62" s="85"/>
      <c r="E62" s="111" t="s">
        <v>65</v>
      </c>
      <c r="F62" s="105" t="s">
        <v>27</v>
      </c>
      <c r="G62" s="105" t="s">
        <v>27</v>
      </c>
      <c r="H62" s="105" t="s">
        <v>27</v>
      </c>
      <c r="I62" s="105" t="s">
        <v>27</v>
      </c>
      <c r="J62" s="105" t="s">
        <v>27</v>
      </c>
      <c r="K62" s="75" t="s">
        <v>27</v>
      </c>
      <c r="L62" s="75" t="s">
        <v>27</v>
      </c>
      <c r="M62" s="76" t="s">
        <v>27</v>
      </c>
      <c r="N62" s="77" t="s">
        <v>27</v>
      </c>
      <c r="O62" s="78" t="s">
        <v>27</v>
      </c>
      <c r="P62" s="78" t="s">
        <v>27</v>
      </c>
      <c r="Q62" s="78" t="s">
        <v>27</v>
      </c>
      <c r="R62" s="78" t="s">
        <v>27</v>
      </c>
      <c r="S62" s="78" t="s">
        <v>27</v>
      </c>
      <c r="T62" s="78" t="s">
        <v>27</v>
      </c>
      <c r="U62" s="78" t="s">
        <v>27</v>
      </c>
      <c r="V62" s="78" t="s">
        <v>27</v>
      </c>
      <c r="W62" s="78" t="s">
        <v>27</v>
      </c>
      <c r="X62" s="78" t="s">
        <v>27</v>
      </c>
      <c r="Y62" s="78" t="s">
        <v>27</v>
      </c>
      <c r="Z62" s="78" t="s">
        <v>27</v>
      </c>
      <c r="AA62" s="78" t="s">
        <v>27</v>
      </c>
      <c r="AB62" s="78" t="s">
        <v>27</v>
      </c>
      <c r="AC62" s="78" t="s">
        <v>27</v>
      </c>
      <c r="AD62" s="78" t="s">
        <v>27</v>
      </c>
      <c r="AE62" s="78" t="s">
        <v>27</v>
      </c>
      <c r="AF62" s="78" t="s">
        <v>27</v>
      </c>
      <c r="AG62" s="78" t="s">
        <v>27</v>
      </c>
      <c r="AH62" s="78" t="s">
        <v>27</v>
      </c>
      <c r="AI62" s="78" t="s">
        <v>27</v>
      </c>
      <c r="AJ62" s="78" t="s">
        <v>27</v>
      </c>
      <c r="AK62" s="78" t="s">
        <v>27</v>
      </c>
      <c r="AL62" s="78" t="s">
        <v>27</v>
      </c>
      <c r="AM62" s="78" t="s">
        <v>27</v>
      </c>
      <c r="AN62" s="78" t="s">
        <v>27</v>
      </c>
      <c r="AO62" s="78" t="s">
        <v>27</v>
      </c>
      <c r="AP62" s="78" t="s">
        <v>27</v>
      </c>
      <c r="AQ62" s="78" t="s">
        <v>27</v>
      </c>
      <c r="AR62" s="78" t="s">
        <v>27</v>
      </c>
      <c r="AS62" s="78" t="s">
        <v>27</v>
      </c>
      <c r="AT62" s="78" t="s">
        <v>27</v>
      </c>
      <c r="AU62" s="78" t="s">
        <v>27</v>
      </c>
      <c r="AV62" s="78" t="s">
        <v>27</v>
      </c>
      <c r="AW62" s="78" t="s">
        <v>27</v>
      </c>
      <c r="AX62" s="78" t="s">
        <v>27</v>
      </c>
      <c r="AY62" s="78" t="s">
        <v>27</v>
      </c>
      <c r="AZ62" s="78" t="s">
        <v>27</v>
      </c>
      <c r="BA62" s="79" t="s">
        <v>27</v>
      </c>
    </row>
    <row r="63" spans="1:54" ht="36" outlineLevel="1">
      <c r="A63" s="244" t="s">
        <v>27</v>
      </c>
      <c r="B63" s="244" t="s">
        <v>27</v>
      </c>
      <c r="C63" s="65" t="s">
        <v>63</v>
      </c>
      <c r="D63" s="85" t="s">
        <v>368</v>
      </c>
      <c r="E63" s="447" t="s">
        <v>332</v>
      </c>
      <c r="F63" s="105" t="s">
        <v>27</v>
      </c>
      <c r="G63" s="105" t="s">
        <v>27</v>
      </c>
      <c r="H63" s="105" t="s">
        <v>27</v>
      </c>
      <c r="I63" s="105" t="s">
        <v>27</v>
      </c>
      <c r="J63" s="105" t="s">
        <v>27</v>
      </c>
      <c r="K63" s="75" t="s">
        <v>27</v>
      </c>
      <c r="L63" s="75" t="s">
        <v>27</v>
      </c>
      <c r="M63" s="76" t="s">
        <v>27</v>
      </c>
      <c r="N63" s="80">
        <f>0.0098</f>
        <v>9.7999999999999997E-3</v>
      </c>
      <c r="O63" s="81">
        <f>0.0683</f>
        <v>6.83E-2</v>
      </c>
      <c r="P63" s="81">
        <f>0.0622</f>
        <v>6.2199999999999998E-2</v>
      </c>
      <c r="Q63" s="81">
        <f>0.0607</f>
        <v>6.0699999999999997E-2</v>
      </c>
      <c r="R63" s="81">
        <f>0.0571</f>
        <v>5.7099999999999998E-2</v>
      </c>
      <c r="S63" s="81">
        <f>0.0537</f>
        <v>5.3699999999999998E-2</v>
      </c>
      <c r="T63" s="81">
        <f>0.0395</f>
        <v>3.95E-2</v>
      </c>
      <c r="U63" s="81">
        <f>0.0374</f>
        <v>3.7400000000000003E-2</v>
      </c>
      <c r="V63" s="81">
        <f>0.0355</f>
        <v>3.5499999999999997E-2</v>
      </c>
      <c r="W63" s="81">
        <f>0.0338</f>
        <v>3.3799999999999997E-2</v>
      </c>
      <c r="X63" s="81">
        <f>0.037</f>
        <v>3.6999999999999998E-2</v>
      </c>
      <c r="Y63" s="81">
        <f>0.0348</f>
        <v>3.4799999999999998E-2</v>
      </c>
      <c r="Z63" s="81">
        <f>0</f>
        <v>0</v>
      </c>
      <c r="AA63" s="81">
        <f>0</f>
        <v>0</v>
      </c>
      <c r="AB63" s="81">
        <f>0</f>
        <v>0</v>
      </c>
      <c r="AC63" s="81">
        <f>0</f>
        <v>0</v>
      </c>
      <c r="AD63" s="81">
        <f>0</f>
        <v>0</v>
      </c>
      <c r="AE63" s="81">
        <f>0</f>
        <v>0</v>
      </c>
      <c r="AF63" s="81">
        <f>0</f>
        <v>0</v>
      </c>
      <c r="AG63" s="81">
        <f>0</f>
        <v>0</v>
      </c>
      <c r="AH63" s="81">
        <f>0</f>
        <v>0</v>
      </c>
      <c r="AI63" s="81">
        <f>0</f>
        <v>0</v>
      </c>
      <c r="AJ63" s="81">
        <f>0</f>
        <v>0</v>
      </c>
      <c r="AK63" s="81">
        <f>0</f>
        <v>0</v>
      </c>
      <c r="AL63" s="81">
        <f>0</f>
        <v>0</v>
      </c>
      <c r="AM63" s="81">
        <f>0</f>
        <v>0</v>
      </c>
      <c r="AN63" s="81">
        <f>0</f>
        <v>0</v>
      </c>
      <c r="AO63" s="81">
        <f>0</f>
        <v>0</v>
      </c>
      <c r="AP63" s="81">
        <f>0</f>
        <v>0</v>
      </c>
      <c r="AQ63" s="81">
        <f>0</f>
        <v>0</v>
      </c>
      <c r="AR63" s="81">
        <f>0</f>
        <v>0</v>
      </c>
      <c r="AS63" s="81">
        <f>0</f>
        <v>0</v>
      </c>
      <c r="AT63" s="81">
        <f>0</f>
        <v>0</v>
      </c>
      <c r="AU63" s="81">
        <f>0</f>
        <v>0</v>
      </c>
      <c r="AV63" s="81">
        <f>0</f>
        <v>0</v>
      </c>
      <c r="AW63" s="81">
        <f>0</f>
        <v>0</v>
      </c>
      <c r="AX63" s="81">
        <f>0</f>
        <v>0</v>
      </c>
      <c r="AY63" s="81">
        <f>0</f>
        <v>0</v>
      </c>
      <c r="AZ63" s="81">
        <f>0</f>
        <v>0</v>
      </c>
      <c r="BA63" s="82">
        <f>0</f>
        <v>0</v>
      </c>
    </row>
    <row r="64" spans="1:54" outlineLevel="5">
      <c r="A64" s="244" t="s">
        <v>27</v>
      </c>
      <c r="B64" s="244"/>
      <c r="C64" s="65" t="s">
        <v>277</v>
      </c>
      <c r="D64" s="85" t="s">
        <v>656</v>
      </c>
      <c r="E64" s="109" t="s">
        <v>277</v>
      </c>
      <c r="F64" s="105" t="s">
        <v>27</v>
      </c>
      <c r="G64" s="105" t="s">
        <v>27</v>
      </c>
      <c r="H64" s="105" t="s">
        <v>27</v>
      </c>
      <c r="I64" s="105" t="s">
        <v>27</v>
      </c>
      <c r="J64" s="105" t="s">
        <v>27</v>
      </c>
      <c r="K64" s="75" t="s">
        <v>27</v>
      </c>
      <c r="L64" s="75" t="s">
        <v>27</v>
      </c>
      <c r="M64" s="76" t="s">
        <v>27</v>
      </c>
      <c r="N64" s="80">
        <f>0.0098</f>
        <v>9.7999999999999997E-3</v>
      </c>
      <c r="O64" s="81">
        <f>0.0683</f>
        <v>6.83E-2</v>
      </c>
      <c r="P64" s="81">
        <f>0.0622</f>
        <v>6.2199999999999998E-2</v>
      </c>
      <c r="Q64" s="81">
        <f>0.0607</f>
        <v>6.0699999999999997E-2</v>
      </c>
      <c r="R64" s="81">
        <f>0.0571</f>
        <v>5.7099999999999998E-2</v>
      </c>
      <c r="S64" s="81">
        <f>0.0537</f>
        <v>5.3699999999999998E-2</v>
      </c>
      <c r="T64" s="81">
        <f>0.0395</f>
        <v>3.95E-2</v>
      </c>
      <c r="U64" s="81">
        <f>0.0374</f>
        <v>3.7400000000000003E-2</v>
      </c>
      <c r="V64" s="81">
        <f>0.0355</f>
        <v>3.5499999999999997E-2</v>
      </c>
      <c r="W64" s="81">
        <f>0.0338</f>
        <v>3.3799999999999997E-2</v>
      </c>
      <c r="X64" s="81">
        <f>0.037</f>
        <v>3.6999999999999998E-2</v>
      </c>
      <c r="Y64" s="81">
        <f>0.0348</f>
        <v>3.4799999999999998E-2</v>
      </c>
      <c r="Z64" s="81">
        <f>0</f>
        <v>0</v>
      </c>
      <c r="AA64" s="81">
        <f>0</f>
        <v>0</v>
      </c>
      <c r="AB64" s="81">
        <f>0</f>
        <v>0</v>
      </c>
      <c r="AC64" s="81">
        <f>0</f>
        <v>0</v>
      </c>
      <c r="AD64" s="81">
        <f>0</f>
        <v>0</v>
      </c>
      <c r="AE64" s="81">
        <f>0</f>
        <v>0</v>
      </c>
      <c r="AF64" s="81">
        <f>0</f>
        <v>0</v>
      </c>
      <c r="AG64" s="81">
        <f>0</f>
        <v>0</v>
      </c>
      <c r="AH64" s="81">
        <f>0</f>
        <v>0</v>
      </c>
      <c r="AI64" s="81">
        <f>0</f>
        <v>0</v>
      </c>
      <c r="AJ64" s="81">
        <f>0</f>
        <v>0</v>
      </c>
      <c r="AK64" s="81">
        <f>0</f>
        <v>0</v>
      </c>
      <c r="AL64" s="81">
        <f>0</f>
        <v>0</v>
      </c>
      <c r="AM64" s="81">
        <f>0</f>
        <v>0</v>
      </c>
      <c r="AN64" s="81">
        <f>0</f>
        <v>0</v>
      </c>
      <c r="AO64" s="81">
        <f>0</f>
        <v>0</v>
      </c>
      <c r="AP64" s="81">
        <f>0</f>
        <v>0</v>
      </c>
      <c r="AQ64" s="81">
        <f>0</f>
        <v>0</v>
      </c>
      <c r="AR64" s="81">
        <f>0</f>
        <v>0</v>
      </c>
      <c r="AS64" s="81">
        <f>0</f>
        <v>0</v>
      </c>
      <c r="AT64" s="81">
        <f>0</f>
        <v>0</v>
      </c>
      <c r="AU64" s="81">
        <f>0</f>
        <v>0</v>
      </c>
      <c r="AV64" s="81">
        <f>0</f>
        <v>0</v>
      </c>
      <c r="AW64" s="81">
        <f>0</f>
        <v>0</v>
      </c>
      <c r="AX64" s="81">
        <f>0</f>
        <v>0</v>
      </c>
      <c r="AY64" s="81">
        <f>0</f>
        <v>0</v>
      </c>
      <c r="AZ64" s="81">
        <f>0</f>
        <v>0</v>
      </c>
      <c r="BA64" s="82">
        <f>0</f>
        <v>0</v>
      </c>
    </row>
    <row r="65" spans="1:54" ht="15" outlineLevel="5">
      <c r="A65" s="244" t="s">
        <v>27</v>
      </c>
      <c r="B65" s="244"/>
      <c r="C65" s="65" t="s">
        <v>278</v>
      </c>
      <c r="D65" s="85" t="s">
        <v>656</v>
      </c>
      <c r="E65" s="109" t="s">
        <v>278</v>
      </c>
      <c r="F65" s="105" t="s">
        <v>27</v>
      </c>
      <c r="G65" s="105" t="s">
        <v>27</v>
      </c>
      <c r="H65" s="105" t="s">
        <v>27</v>
      </c>
      <c r="I65" s="105" t="s">
        <v>27</v>
      </c>
      <c r="J65" s="105" t="s">
        <v>27</v>
      </c>
      <c r="K65" s="75" t="s">
        <v>27</v>
      </c>
      <c r="L65" s="75" t="s">
        <v>27</v>
      </c>
      <c r="M65" s="76" t="s">
        <v>27</v>
      </c>
      <c r="N65" s="80">
        <f>0.0098</f>
        <v>9.7999999999999997E-3</v>
      </c>
      <c r="O65" s="81">
        <f>0.0683</f>
        <v>6.83E-2</v>
      </c>
      <c r="P65" s="81">
        <f>0.0622</f>
        <v>6.2199999999999998E-2</v>
      </c>
      <c r="Q65" s="81">
        <f>0.0607</f>
        <v>6.0699999999999997E-2</v>
      </c>
      <c r="R65" s="81">
        <f>0.0571</f>
        <v>5.7099999999999998E-2</v>
      </c>
      <c r="S65" s="81">
        <f>0.0537</f>
        <v>5.3699999999999998E-2</v>
      </c>
      <c r="T65" s="81">
        <f>0.0395</f>
        <v>3.95E-2</v>
      </c>
      <c r="U65" s="81">
        <f>0.0374</f>
        <v>3.7400000000000003E-2</v>
      </c>
      <c r="V65" s="81">
        <f>0.0355</f>
        <v>3.5499999999999997E-2</v>
      </c>
      <c r="W65" s="81">
        <f>0.0338</f>
        <v>3.3799999999999997E-2</v>
      </c>
      <c r="X65" s="81">
        <f>0.037</f>
        <v>3.6999999999999998E-2</v>
      </c>
      <c r="Y65" s="81">
        <f>0.0348</f>
        <v>3.4799999999999998E-2</v>
      </c>
      <c r="Z65" s="81">
        <f>0</f>
        <v>0</v>
      </c>
      <c r="AA65" s="81">
        <f>0</f>
        <v>0</v>
      </c>
      <c r="AB65" s="81">
        <f>0</f>
        <v>0</v>
      </c>
      <c r="AC65" s="81">
        <f>0</f>
        <v>0</v>
      </c>
      <c r="AD65" s="81">
        <f>0</f>
        <v>0</v>
      </c>
      <c r="AE65" s="81">
        <f>0</f>
        <v>0</v>
      </c>
      <c r="AF65" s="81">
        <f>0</f>
        <v>0</v>
      </c>
      <c r="AG65" s="81">
        <f>0</f>
        <v>0</v>
      </c>
      <c r="AH65" s="81">
        <f>0</f>
        <v>0</v>
      </c>
      <c r="AI65" s="81">
        <f>0</f>
        <v>0</v>
      </c>
      <c r="AJ65" s="81">
        <f>0</f>
        <v>0</v>
      </c>
      <c r="AK65" s="81">
        <f>0</f>
        <v>0</v>
      </c>
      <c r="AL65" s="81">
        <f>0</f>
        <v>0</v>
      </c>
      <c r="AM65" s="81">
        <f>0</f>
        <v>0</v>
      </c>
      <c r="AN65" s="81">
        <f>0</f>
        <v>0</v>
      </c>
      <c r="AO65" s="81">
        <f>0</f>
        <v>0</v>
      </c>
      <c r="AP65" s="81">
        <f>0</f>
        <v>0</v>
      </c>
      <c r="AQ65" s="81">
        <f>0</f>
        <v>0</v>
      </c>
      <c r="AR65" s="81">
        <f>0</f>
        <v>0</v>
      </c>
      <c r="AS65" s="81">
        <f>0</f>
        <v>0</v>
      </c>
      <c r="AT65" s="81">
        <f>0</f>
        <v>0</v>
      </c>
      <c r="AU65" s="81">
        <f>0</f>
        <v>0</v>
      </c>
      <c r="AV65" s="81">
        <f>0</f>
        <v>0</v>
      </c>
      <c r="AW65" s="81">
        <f>0</f>
        <v>0</v>
      </c>
      <c r="AX65" s="81">
        <f>0</f>
        <v>0</v>
      </c>
      <c r="AY65" s="81">
        <f>0</f>
        <v>0</v>
      </c>
      <c r="AZ65" s="81">
        <f>0</f>
        <v>0</v>
      </c>
      <c r="BA65" s="82">
        <f>0</f>
        <v>0</v>
      </c>
      <c r="BB65" s="21"/>
    </row>
    <row r="66" spans="1:54" ht="24" outlineLevel="1">
      <c r="A66" s="244" t="s">
        <v>27</v>
      </c>
      <c r="B66" s="244" t="s">
        <v>27</v>
      </c>
      <c r="C66" s="65" t="s">
        <v>64</v>
      </c>
      <c r="D66" s="85"/>
      <c r="E66" s="447" t="s">
        <v>543</v>
      </c>
      <c r="F66" s="106">
        <f>0.1115</f>
        <v>0.1115</v>
      </c>
      <c r="G66" s="106">
        <f>0.174</f>
        <v>0.17399999999999999</v>
      </c>
      <c r="H66" s="106">
        <f>0.1385</f>
        <v>0.13850000000000001</v>
      </c>
      <c r="I66" s="106">
        <f>0.1475</f>
        <v>0.14749999999999999</v>
      </c>
      <c r="J66" s="106">
        <f>0.1856</f>
        <v>0.18559999999999999</v>
      </c>
      <c r="K66" s="83">
        <f>0.1474</f>
        <v>0.1474</v>
      </c>
      <c r="L66" s="83">
        <f>0.0795</f>
        <v>7.9500000000000001E-2</v>
      </c>
      <c r="M66" s="84">
        <f>0.1985</f>
        <v>0.19850000000000001</v>
      </c>
      <c r="N66" s="80">
        <f>0.0503</f>
        <v>5.0299999999999997E-2</v>
      </c>
      <c r="O66" s="81">
        <f>0.0769</f>
        <v>7.6899999999999996E-2</v>
      </c>
      <c r="P66" s="81">
        <f>0.0758</f>
        <v>7.5800000000000006E-2</v>
      </c>
      <c r="Q66" s="81">
        <f>0.0883</f>
        <v>8.8300000000000003E-2</v>
      </c>
      <c r="R66" s="81">
        <f>0.1007</f>
        <v>0.1007</v>
      </c>
      <c r="S66" s="81">
        <f>0.1117</f>
        <v>0.11169999999999999</v>
      </c>
      <c r="T66" s="81">
        <f>0.1215</f>
        <v>0.1215</v>
      </c>
      <c r="U66" s="81">
        <f>0.1287</f>
        <v>0.12870000000000001</v>
      </c>
      <c r="V66" s="81">
        <f>0.1335</f>
        <v>0.13350000000000001</v>
      </c>
      <c r="W66" s="81">
        <f>0.1371</f>
        <v>0.1371</v>
      </c>
      <c r="X66" s="81">
        <f>0.1395</f>
        <v>0.13950000000000001</v>
      </c>
      <c r="Y66" s="81">
        <f>0.1407</f>
        <v>0.14069999999999999</v>
      </c>
      <c r="Z66" s="81">
        <f>0</f>
        <v>0</v>
      </c>
      <c r="AA66" s="81">
        <f>0</f>
        <v>0</v>
      </c>
      <c r="AB66" s="81">
        <f>0</f>
        <v>0</v>
      </c>
      <c r="AC66" s="81">
        <f>0</f>
        <v>0</v>
      </c>
      <c r="AD66" s="81">
        <f>0</f>
        <v>0</v>
      </c>
      <c r="AE66" s="81">
        <f>0</f>
        <v>0</v>
      </c>
      <c r="AF66" s="81">
        <f>0</f>
        <v>0</v>
      </c>
      <c r="AG66" s="81">
        <f>0</f>
        <v>0</v>
      </c>
      <c r="AH66" s="81">
        <f>0</f>
        <v>0</v>
      </c>
      <c r="AI66" s="81">
        <f>0</f>
        <v>0</v>
      </c>
      <c r="AJ66" s="81">
        <f>0</f>
        <v>0</v>
      </c>
      <c r="AK66" s="81">
        <f>0</f>
        <v>0</v>
      </c>
      <c r="AL66" s="81">
        <f>0</f>
        <v>0</v>
      </c>
      <c r="AM66" s="81">
        <f>0</f>
        <v>0</v>
      </c>
      <c r="AN66" s="81">
        <f>0</f>
        <v>0</v>
      </c>
      <c r="AO66" s="81">
        <f>0</f>
        <v>0</v>
      </c>
      <c r="AP66" s="81">
        <f>0</f>
        <v>0</v>
      </c>
      <c r="AQ66" s="81">
        <f>0</f>
        <v>0</v>
      </c>
      <c r="AR66" s="81">
        <f>0</f>
        <v>0</v>
      </c>
      <c r="AS66" s="81">
        <f>0</f>
        <v>0</v>
      </c>
      <c r="AT66" s="81">
        <f>0</f>
        <v>0</v>
      </c>
      <c r="AU66" s="81">
        <f>0</f>
        <v>0</v>
      </c>
      <c r="AV66" s="81">
        <f>0</f>
        <v>0</v>
      </c>
      <c r="AW66" s="81">
        <f>0</f>
        <v>0</v>
      </c>
      <c r="AX66" s="81">
        <f>0</f>
        <v>0</v>
      </c>
      <c r="AY66" s="81">
        <f>0</f>
        <v>0</v>
      </c>
      <c r="AZ66" s="81">
        <f>0</f>
        <v>0</v>
      </c>
      <c r="BA66" s="82">
        <f>0</f>
        <v>0</v>
      </c>
    </row>
    <row r="67" spans="1:54" ht="15" outlineLevel="5">
      <c r="A67" s="244" t="s">
        <v>27</v>
      </c>
      <c r="B67" s="244"/>
      <c r="C67" s="65" t="s">
        <v>279</v>
      </c>
      <c r="D67" s="85" t="s">
        <v>657</v>
      </c>
      <c r="E67" s="109" t="s">
        <v>279</v>
      </c>
      <c r="F67" s="106">
        <f>0.114</f>
        <v>0.114</v>
      </c>
      <c r="G67" s="106">
        <f>0.1769</f>
        <v>0.1769</v>
      </c>
      <c r="H67" s="106">
        <f>0.1404</f>
        <v>0.1404</v>
      </c>
      <c r="I67" s="106">
        <f>0.1901</f>
        <v>0.19009999999999999</v>
      </c>
      <c r="J67" s="106">
        <f>0.1867</f>
        <v>0.1867</v>
      </c>
      <c r="K67" s="83">
        <f>0.1486</f>
        <v>0.14860000000000001</v>
      </c>
      <c r="L67" s="83">
        <f>0.0803</f>
        <v>8.0299999999999996E-2</v>
      </c>
      <c r="M67" s="84">
        <f>0.2813</f>
        <v>0.28129999999999999</v>
      </c>
      <c r="N67" s="80">
        <f>0.0511</f>
        <v>5.11E-2</v>
      </c>
      <c r="O67" s="81">
        <f>0.0769</f>
        <v>7.6899999999999996E-2</v>
      </c>
      <c r="P67" s="81">
        <f>0.0758</f>
        <v>7.5800000000000006E-2</v>
      </c>
      <c r="Q67" s="81">
        <f>0</f>
        <v>0</v>
      </c>
      <c r="R67" s="81">
        <f>0</f>
        <v>0</v>
      </c>
      <c r="S67" s="81">
        <f>0</f>
        <v>0</v>
      </c>
      <c r="T67" s="81">
        <f>0</f>
        <v>0</v>
      </c>
      <c r="U67" s="81">
        <f>0</f>
        <v>0</v>
      </c>
      <c r="V67" s="81">
        <f>0</f>
        <v>0</v>
      </c>
      <c r="W67" s="81">
        <f>0</f>
        <v>0</v>
      </c>
      <c r="X67" s="81">
        <f>0</f>
        <v>0</v>
      </c>
      <c r="Y67" s="81">
        <f>0</f>
        <v>0</v>
      </c>
      <c r="Z67" s="81">
        <f>0</f>
        <v>0</v>
      </c>
      <c r="AA67" s="81">
        <f>0</f>
        <v>0</v>
      </c>
      <c r="AB67" s="81">
        <f>0</f>
        <v>0</v>
      </c>
      <c r="AC67" s="81">
        <f>0</f>
        <v>0</v>
      </c>
      <c r="AD67" s="81">
        <f>0</f>
        <v>0</v>
      </c>
      <c r="AE67" s="81">
        <f>0</f>
        <v>0</v>
      </c>
      <c r="AF67" s="81">
        <f>0</f>
        <v>0</v>
      </c>
      <c r="AG67" s="81">
        <f>0</f>
        <v>0</v>
      </c>
      <c r="AH67" s="81">
        <f>0</f>
        <v>0</v>
      </c>
      <c r="AI67" s="81">
        <f>0</f>
        <v>0</v>
      </c>
      <c r="AJ67" s="81">
        <f>0</f>
        <v>0</v>
      </c>
      <c r="AK67" s="81">
        <f>0</f>
        <v>0</v>
      </c>
      <c r="AL67" s="81">
        <f>0</f>
        <v>0</v>
      </c>
      <c r="AM67" s="81">
        <f>0</f>
        <v>0</v>
      </c>
      <c r="AN67" s="81">
        <f>0</f>
        <v>0</v>
      </c>
      <c r="AO67" s="81">
        <f>0</f>
        <v>0</v>
      </c>
      <c r="AP67" s="81">
        <f>0</f>
        <v>0</v>
      </c>
      <c r="AQ67" s="81">
        <f>0</f>
        <v>0</v>
      </c>
      <c r="AR67" s="81">
        <f>0</f>
        <v>0</v>
      </c>
      <c r="AS67" s="81">
        <f>0</f>
        <v>0</v>
      </c>
      <c r="AT67" s="81">
        <f>0</f>
        <v>0</v>
      </c>
      <c r="AU67" s="81">
        <f>0</f>
        <v>0</v>
      </c>
      <c r="AV67" s="81">
        <f>0</f>
        <v>0</v>
      </c>
      <c r="AW67" s="81">
        <f>0</f>
        <v>0</v>
      </c>
      <c r="AX67" s="81">
        <f>0</f>
        <v>0</v>
      </c>
      <c r="AY67" s="81">
        <f>0</f>
        <v>0</v>
      </c>
      <c r="AZ67" s="81">
        <f>0</f>
        <v>0</v>
      </c>
      <c r="BA67" s="82">
        <f>0</f>
        <v>0</v>
      </c>
      <c r="BB67" s="21"/>
    </row>
    <row r="68" spans="1:54" outlineLevel="5">
      <c r="A68" s="244" t="s">
        <v>27</v>
      </c>
      <c r="B68" s="244"/>
      <c r="C68" s="65" t="s">
        <v>280</v>
      </c>
      <c r="D68" s="85" t="s">
        <v>658</v>
      </c>
      <c r="E68" s="109" t="s">
        <v>280</v>
      </c>
      <c r="F68" s="106">
        <f>0.1115</f>
        <v>0.1115</v>
      </c>
      <c r="G68" s="106">
        <f>0.174</f>
        <v>0.17399999999999999</v>
      </c>
      <c r="H68" s="106">
        <f>0.1385</f>
        <v>0.13850000000000001</v>
      </c>
      <c r="I68" s="106">
        <f>0.1475</f>
        <v>0.14749999999999999</v>
      </c>
      <c r="J68" s="106">
        <f>0.1856</f>
        <v>0.18559999999999999</v>
      </c>
      <c r="K68" s="83">
        <f>0.1474</f>
        <v>0.1474</v>
      </c>
      <c r="L68" s="83">
        <f>0.0795</f>
        <v>7.9500000000000001E-2</v>
      </c>
      <c r="M68" s="84">
        <f>0.1985</f>
        <v>0.19850000000000001</v>
      </c>
      <c r="N68" s="80">
        <f>0.0503</f>
        <v>5.0299999999999997E-2</v>
      </c>
      <c r="O68" s="81">
        <f>0.0769</f>
        <v>7.6899999999999996E-2</v>
      </c>
      <c r="P68" s="81">
        <f>0.0758</f>
        <v>7.5800000000000006E-2</v>
      </c>
      <c r="Q68" s="81">
        <f>0.0883</f>
        <v>8.8300000000000003E-2</v>
      </c>
      <c r="R68" s="81">
        <f>0.1007</f>
        <v>0.1007</v>
      </c>
      <c r="S68" s="81">
        <f>0.1117</f>
        <v>0.11169999999999999</v>
      </c>
      <c r="T68" s="81">
        <f>0.1215</f>
        <v>0.1215</v>
      </c>
      <c r="U68" s="81">
        <f>0.1287</f>
        <v>0.12870000000000001</v>
      </c>
      <c r="V68" s="81">
        <f>0.1335</f>
        <v>0.13350000000000001</v>
      </c>
      <c r="W68" s="81">
        <f>0.1371</f>
        <v>0.1371</v>
      </c>
      <c r="X68" s="81">
        <f>0.1395</f>
        <v>0.13950000000000001</v>
      </c>
      <c r="Y68" s="81">
        <f>0.1407</f>
        <v>0.14069999999999999</v>
      </c>
      <c r="Z68" s="81">
        <f>0</f>
        <v>0</v>
      </c>
      <c r="AA68" s="81">
        <f>0</f>
        <v>0</v>
      </c>
      <c r="AB68" s="81">
        <f>0</f>
        <v>0</v>
      </c>
      <c r="AC68" s="81">
        <f>0</f>
        <v>0</v>
      </c>
      <c r="AD68" s="81">
        <f>0</f>
        <v>0</v>
      </c>
      <c r="AE68" s="81">
        <f>0</f>
        <v>0</v>
      </c>
      <c r="AF68" s="81">
        <f>0</f>
        <v>0</v>
      </c>
      <c r="AG68" s="81">
        <f>0</f>
        <v>0</v>
      </c>
      <c r="AH68" s="81">
        <f>0</f>
        <v>0</v>
      </c>
      <c r="AI68" s="81">
        <f>0</f>
        <v>0</v>
      </c>
      <c r="AJ68" s="81">
        <f>0</f>
        <v>0</v>
      </c>
      <c r="AK68" s="81">
        <f>0</f>
        <v>0</v>
      </c>
      <c r="AL68" s="81">
        <f>0</f>
        <v>0</v>
      </c>
      <c r="AM68" s="81">
        <f>0</f>
        <v>0</v>
      </c>
      <c r="AN68" s="81">
        <f>0</f>
        <v>0</v>
      </c>
      <c r="AO68" s="81">
        <f>0</f>
        <v>0</v>
      </c>
      <c r="AP68" s="81">
        <f>0</f>
        <v>0</v>
      </c>
      <c r="AQ68" s="81">
        <f>0</f>
        <v>0</v>
      </c>
      <c r="AR68" s="81">
        <f>0</f>
        <v>0</v>
      </c>
      <c r="AS68" s="81">
        <f>0</f>
        <v>0</v>
      </c>
      <c r="AT68" s="81">
        <f>0</f>
        <v>0</v>
      </c>
      <c r="AU68" s="81">
        <f>0</f>
        <v>0</v>
      </c>
      <c r="AV68" s="81">
        <f>0</f>
        <v>0</v>
      </c>
      <c r="AW68" s="81">
        <f>0</f>
        <v>0</v>
      </c>
      <c r="AX68" s="81">
        <f>0</f>
        <v>0</v>
      </c>
      <c r="AY68" s="81">
        <f>0</f>
        <v>0</v>
      </c>
      <c r="AZ68" s="81">
        <f>0</f>
        <v>0</v>
      </c>
      <c r="BA68" s="82">
        <f>0</f>
        <v>0</v>
      </c>
    </row>
    <row r="69" spans="1:54" ht="48" outlineLevel="1">
      <c r="A69" s="244" t="s">
        <v>27</v>
      </c>
      <c r="B69" s="244" t="s">
        <v>27</v>
      </c>
      <c r="C69" s="65" t="s">
        <v>303</v>
      </c>
      <c r="D69" s="85" t="s">
        <v>369</v>
      </c>
      <c r="E69" s="447" t="s">
        <v>333</v>
      </c>
      <c r="F69" s="105" t="s">
        <v>27</v>
      </c>
      <c r="G69" s="105" t="s">
        <v>27</v>
      </c>
      <c r="H69" s="105" t="s">
        <v>27</v>
      </c>
      <c r="I69" s="105" t="s">
        <v>27</v>
      </c>
      <c r="J69" s="105" t="s">
        <v>27</v>
      </c>
      <c r="K69" s="75" t="s">
        <v>27</v>
      </c>
      <c r="L69" s="75" t="s">
        <v>27</v>
      </c>
      <c r="M69" s="76" t="s">
        <v>27</v>
      </c>
      <c r="N69" s="80">
        <f>0.1481</f>
        <v>0.14810000000000001</v>
      </c>
      <c r="O69" s="81">
        <f>0.1392</f>
        <v>0.13919999999999999</v>
      </c>
      <c r="P69" s="81">
        <f>0.1249</f>
        <v>0.1249</v>
      </c>
      <c r="Q69" s="81">
        <f>0.1156</f>
        <v>0.11559999999999999</v>
      </c>
      <c r="R69" s="81">
        <f>0.1005</f>
        <v>0.10050000000000001</v>
      </c>
      <c r="S69" s="81">
        <f>0.0884</f>
        <v>8.8400000000000006E-2</v>
      </c>
      <c r="T69" s="81">
        <f>0.0833</f>
        <v>8.3299999999999999E-2</v>
      </c>
      <c r="U69" s="81">
        <f>0.0893</f>
        <v>8.9300000000000004E-2</v>
      </c>
      <c r="V69" s="81">
        <f>0.1005</f>
        <v>0.10050000000000001</v>
      </c>
      <c r="W69" s="81">
        <f>0.1086</f>
        <v>0.1086</v>
      </c>
      <c r="X69" s="81">
        <f>0.1174</f>
        <v>0.1174</v>
      </c>
      <c r="Y69" s="81">
        <f>0.1247</f>
        <v>0.12470000000000001</v>
      </c>
      <c r="Z69" s="81">
        <f>0</f>
        <v>0</v>
      </c>
      <c r="AA69" s="81">
        <f>0</f>
        <v>0</v>
      </c>
      <c r="AB69" s="81">
        <f>0</f>
        <v>0</v>
      </c>
      <c r="AC69" s="81">
        <f>0</f>
        <v>0</v>
      </c>
      <c r="AD69" s="81">
        <f>0</f>
        <v>0</v>
      </c>
      <c r="AE69" s="81">
        <f>0</f>
        <v>0</v>
      </c>
      <c r="AF69" s="81">
        <f>0</f>
        <v>0</v>
      </c>
      <c r="AG69" s="81">
        <f>0</f>
        <v>0</v>
      </c>
      <c r="AH69" s="81">
        <f>0</f>
        <v>0</v>
      </c>
      <c r="AI69" s="81">
        <f>0</f>
        <v>0</v>
      </c>
      <c r="AJ69" s="81">
        <f>0</f>
        <v>0</v>
      </c>
      <c r="AK69" s="81">
        <f>0</f>
        <v>0</v>
      </c>
      <c r="AL69" s="81">
        <f>0</f>
        <v>0</v>
      </c>
      <c r="AM69" s="81">
        <f>0</f>
        <v>0</v>
      </c>
      <c r="AN69" s="81">
        <f>0</f>
        <v>0</v>
      </c>
      <c r="AO69" s="81">
        <f>0</f>
        <v>0</v>
      </c>
      <c r="AP69" s="81">
        <f>0</f>
        <v>0</v>
      </c>
      <c r="AQ69" s="81">
        <f>0</f>
        <v>0</v>
      </c>
      <c r="AR69" s="81">
        <f>0</f>
        <v>0</v>
      </c>
      <c r="AS69" s="81">
        <f>0</f>
        <v>0</v>
      </c>
      <c r="AT69" s="81">
        <f>0</f>
        <v>0</v>
      </c>
      <c r="AU69" s="81">
        <f>0</f>
        <v>0</v>
      </c>
      <c r="AV69" s="81">
        <f>0</f>
        <v>0</v>
      </c>
      <c r="AW69" s="81">
        <f>0</f>
        <v>0</v>
      </c>
      <c r="AX69" s="81">
        <f>0</f>
        <v>0</v>
      </c>
      <c r="AY69" s="81">
        <f>0</f>
        <v>0</v>
      </c>
      <c r="AZ69" s="81">
        <f>0</f>
        <v>0</v>
      </c>
      <c r="BA69" s="82">
        <f>0</f>
        <v>0</v>
      </c>
    </row>
    <row r="70" spans="1:54" ht="48" outlineLevel="2">
      <c r="A70" s="244" t="s">
        <v>27</v>
      </c>
      <c r="B70" s="244" t="s">
        <v>27</v>
      </c>
      <c r="C70" s="65" t="s">
        <v>281</v>
      </c>
      <c r="D70" s="85" t="s">
        <v>370</v>
      </c>
      <c r="E70" s="109" t="s">
        <v>334</v>
      </c>
      <c r="F70" s="105" t="s">
        <v>27</v>
      </c>
      <c r="G70" s="105" t="s">
        <v>27</v>
      </c>
      <c r="H70" s="105" t="s">
        <v>27</v>
      </c>
      <c r="I70" s="105" t="s">
        <v>27</v>
      </c>
      <c r="J70" s="105" t="s">
        <v>27</v>
      </c>
      <c r="K70" s="75" t="s">
        <v>27</v>
      </c>
      <c r="L70" s="75" t="s">
        <v>27</v>
      </c>
      <c r="M70" s="76" t="s">
        <v>27</v>
      </c>
      <c r="N70" s="80">
        <f>0.1769</f>
        <v>0.1769</v>
      </c>
      <c r="O70" s="81">
        <f>0.1679</f>
        <v>0.16789999999999999</v>
      </c>
      <c r="P70" s="81">
        <f>0.1536</f>
        <v>0.15359999999999999</v>
      </c>
      <c r="Q70" s="81">
        <f>0.1444</f>
        <v>0.1444</v>
      </c>
      <c r="R70" s="81">
        <f>0.1175</f>
        <v>0.11749999999999999</v>
      </c>
      <c r="S70" s="81">
        <f>0.1054</f>
        <v>0.10539999999999999</v>
      </c>
      <c r="T70" s="81">
        <f>0.1003</f>
        <v>0.1003</v>
      </c>
      <c r="U70" s="81">
        <f>0.0893</f>
        <v>8.9300000000000004E-2</v>
      </c>
      <c r="V70" s="81">
        <f>0.1005</f>
        <v>0.10050000000000001</v>
      </c>
      <c r="W70" s="81">
        <f>0.1086</f>
        <v>0.1086</v>
      </c>
      <c r="X70" s="81">
        <f>0.1174</f>
        <v>0.1174</v>
      </c>
      <c r="Y70" s="81">
        <f>0.1247</f>
        <v>0.12470000000000001</v>
      </c>
      <c r="Z70" s="81">
        <f>0</f>
        <v>0</v>
      </c>
      <c r="AA70" s="81">
        <f>0</f>
        <v>0</v>
      </c>
      <c r="AB70" s="81">
        <f>0</f>
        <v>0</v>
      </c>
      <c r="AC70" s="81">
        <f>0</f>
        <v>0</v>
      </c>
      <c r="AD70" s="81">
        <f>0</f>
        <v>0</v>
      </c>
      <c r="AE70" s="81">
        <f>0</f>
        <v>0</v>
      </c>
      <c r="AF70" s="81">
        <f>0</f>
        <v>0</v>
      </c>
      <c r="AG70" s="81">
        <f>0</f>
        <v>0</v>
      </c>
      <c r="AH70" s="81">
        <f>0</f>
        <v>0</v>
      </c>
      <c r="AI70" s="81">
        <f>0</f>
        <v>0</v>
      </c>
      <c r="AJ70" s="81">
        <f>0</f>
        <v>0</v>
      </c>
      <c r="AK70" s="81">
        <f>0</f>
        <v>0</v>
      </c>
      <c r="AL70" s="81">
        <f>0</f>
        <v>0</v>
      </c>
      <c r="AM70" s="81">
        <f>0</f>
        <v>0</v>
      </c>
      <c r="AN70" s="81">
        <f>0</f>
        <v>0</v>
      </c>
      <c r="AO70" s="81">
        <f>0</f>
        <v>0</v>
      </c>
      <c r="AP70" s="81">
        <f>0</f>
        <v>0</v>
      </c>
      <c r="AQ70" s="81">
        <f>0</f>
        <v>0</v>
      </c>
      <c r="AR70" s="81">
        <f>0</f>
        <v>0</v>
      </c>
      <c r="AS70" s="81">
        <f>0</f>
        <v>0</v>
      </c>
      <c r="AT70" s="81">
        <f>0</f>
        <v>0</v>
      </c>
      <c r="AU70" s="81">
        <f>0</f>
        <v>0</v>
      </c>
      <c r="AV70" s="81">
        <f>0</f>
        <v>0</v>
      </c>
      <c r="AW70" s="81">
        <f>0</f>
        <v>0</v>
      </c>
      <c r="AX70" s="81">
        <f>0</f>
        <v>0</v>
      </c>
      <c r="AY70" s="81">
        <f>0</f>
        <v>0</v>
      </c>
      <c r="AZ70" s="81">
        <f>0</f>
        <v>0</v>
      </c>
      <c r="BA70" s="82">
        <f>0</f>
        <v>0</v>
      </c>
    </row>
    <row r="71" spans="1:54" ht="36" outlineLevel="1">
      <c r="A71" s="244" t="s">
        <v>27</v>
      </c>
      <c r="B71" s="244" t="s">
        <v>27</v>
      </c>
      <c r="C71" s="65" t="s">
        <v>304</v>
      </c>
      <c r="D71" s="85"/>
      <c r="E71" s="447" t="s">
        <v>176</v>
      </c>
      <c r="F71" s="105" t="s">
        <v>27</v>
      </c>
      <c r="G71" s="105" t="s">
        <v>27</v>
      </c>
      <c r="H71" s="105" t="s">
        <v>27</v>
      </c>
      <c r="I71" s="105" t="s">
        <v>27</v>
      </c>
      <c r="J71" s="105" t="s">
        <v>27</v>
      </c>
      <c r="K71" s="75" t="s">
        <v>27</v>
      </c>
      <c r="L71" s="75" t="s">
        <v>27</v>
      </c>
      <c r="M71" s="76" t="s">
        <v>27</v>
      </c>
      <c r="N71" s="208" t="str">
        <f>IF(N63&lt;=N69,"Spełniona","Nie spełniona")</f>
        <v>Spełniona</v>
      </c>
      <c r="O71" s="209" t="str">
        <f t="shared" ref="O71:AO71" si="9">IF(O63&lt;=O69,"Spełniona","Nie spełniona")</f>
        <v>Spełniona</v>
      </c>
      <c r="P71" s="209" t="str">
        <f t="shared" si="9"/>
        <v>Spełniona</v>
      </c>
      <c r="Q71" s="209" t="str">
        <f t="shared" si="9"/>
        <v>Spełniona</v>
      </c>
      <c r="R71" s="209" t="str">
        <f t="shared" si="9"/>
        <v>Spełniona</v>
      </c>
      <c r="S71" s="209" t="str">
        <f t="shared" si="9"/>
        <v>Spełniona</v>
      </c>
      <c r="T71" s="209" t="str">
        <f t="shared" si="9"/>
        <v>Spełniona</v>
      </c>
      <c r="U71" s="209" t="str">
        <f t="shared" si="9"/>
        <v>Spełniona</v>
      </c>
      <c r="V71" s="209" t="str">
        <f t="shared" si="9"/>
        <v>Spełniona</v>
      </c>
      <c r="W71" s="209" t="str">
        <f t="shared" si="9"/>
        <v>Spełniona</v>
      </c>
      <c r="X71" s="209" t="str">
        <f t="shared" si="9"/>
        <v>Spełniona</v>
      </c>
      <c r="Y71" s="209" t="str">
        <f t="shared" si="9"/>
        <v>Spełniona</v>
      </c>
      <c r="Z71" s="209" t="str">
        <f t="shared" si="9"/>
        <v>Spełniona</v>
      </c>
      <c r="AA71" s="209" t="str">
        <f t="shared" si="9"/>
        <v>Spełniona</v>
      </c>
      <c r="AB71" s="209" t="str">
        <f t="shared" si="9"/>
        <v>Spełniona</v>
      </c>
      <c r="AC71" s="209" t="str">
        <f t="shared" si="9"/>
        <v>Spełniona</v>
      </c>
      <c r="AD71" s="209" t="str">
        <f t="shared" si="9"/>
        <v>Spełniona</v>
      </c>
      <c r="AE71" s="209" t="str">
        <f t="shared" si="9"/>
        <v>Spełniona</v>
      </c>
      <c r="AF71" s="209" t="str">
        <f t="shared" si="9"/>
        <v>Spełniona</v>
      </c>
      <c r="AG71" s="209" t="str">
        <f t="shared" si="9"/>
        <v>Spełniona</v>
      </c>
      <c r="AH71" s="209" t="str">
        <f t="shared" si="9"/>
        <v>Spełniona</v>
      </c>
      <c r="AI71" s="209" t="str">
        <f t="shared" si="9"/>
        <v>Spełniona</v>
      </c>
      <c r="AJ71" s="209" t="str">
        <f t="shared" si="9"/>
        <v>Spełniona</v>
      </c>
      <c r="AK71" s="209" t="str">
        <f t="shared" si="9"/>
        <v>Spełniona</v>
      </c>
      <c r="AL71" s="209" t="str">
        <f t="shared" si="9"/>
        <v>Spełniona</v>
      </c>
      <c r="AM71" s="209" t="str">
        <f t="shared" si="9"/>
        <v>Spełniona</v>
      </c>
      <c r="AN71" s="209" t="str">
        <f t="shared" si="9"/>
        <v>Spełniona</v>
      </c>
      <c r="AO71" s="209" t="str">
        <f t="shared" si="9"/>
        <v>Spełniona</v>
      </c>
      <c r="AP71" s="209" t="str">
        <f t="shared" ref="AP71:BA71" si="10">IF(AP63&lt;=AP69,"Spełniona","Nie spełniona")</f>
        <v>Spełniona</v>
      </c>
      <c r="AQ71" s="209" t="str">
        <f t="shared" si="10"/>
        <v>Spełniona</v>
      </c>
      <c r="AR71" s="209" t="str">
        <f t="shared" si="10"/>
        <v>Spełniona</v>
      </c>
      <c r="AS71" s="209" t="str">
        <f t="shared" si="10"/>
        <v>Spełniona</v>
      </c>
      <c r="AT71" s="209" t="str">
        <f t="shared" si="10"/>
        <v>Spełniona</v>
      </c>
      <c r="AU71" s="209" t="str">
        <f t="shared" si="10"/>
        <v>Spełniona</v>
      </c>
      <c r="AV71" s="209" t="str">
        <f t="shared" si="10"/>
        <v>Spełniona</v>
      </c>
      <c r="AW71" s="209" t="str">
        <f t="shared" si="10"/>
        <v>Spełniona</v>
      </c>
      <c r="AX71" s="209" t="str">
        <f t="shared" si="10"/>
        <v>Spełniona</v>
      </c>
      <c r="AY71" s="209" t="str">
        <f t="shared" si="10"/>
        <v>Spełniona</v>
      </c>
      <c r="AZ71" s="209" t="str">
        <f t="shared" si="10"/>
        <v>Spełniona</v>
      </c>
      <c r="BA71" s="210" t="str">
        <f t="shared" si="10"/>
        <v>Spełniona</v>
      </c>
    </row>
    <row r="72" spans="1:54" ht="36" outlineLevel="2">
      <c r="A72" s="244" t="s">
        <v>27</v>
      </c>
      <c r="B72" s="244" t="s">
        <v>27</v>
      </c>
      <c r="C72" s="65" t="s">
        <v>282</v>
      </c>
      <c r="D72" s="85"/>
      <c r="E72" s="109" t="s">
        <v>174</v>
      </c>
      <c r="F72" s="105" t="s">
        <v>27</v>
      </c>
      <c r="G72" s="105" t="s">
        <v>27</v>
      </c>
      <c r="H72" s="105" t="s">
        <v>27</v>
      </c>
      <c r="I72" s="105" t="s">
        <v>27</v>
      </c>
      <c r="J72" s="105" t="s">
        <v>27</v>
      </c>
      <c r="K72" s="75" t="s">
        <v>27</v>
      </c>
      <c r="L72" s="75" t="s">
        <v>27</v>
      </c>
      <c r="M72" s="76" t="s">
        <v>27</v>
      </c>
      <c r="N72" s="208" t="str">
        <f>IF(N63&lt;=N70,"Spełniona","Nie spełniona")</f>
        <v>Spełniona</v>
      </c>
      <c r="O72" s="209" t="str">
        <f t="shared" ref="O72:AO72" si="11">IF(O63&lt;=O70,"Spełniona","Nie spełniona")</f>
        <v>Spełniona</v>
      </c>
      <c r="P72" s="209" t="str">
        <f t="shared" si="11"/>
        <v>Spełniona</v>
      </c>
      <c r="Q72" s="209" t="str">
        <f t="shared" si="11"/>
        <v>Spełniona</v>
      </c>
      <c r="R72" s="209" t="str">
        <f t="shared" si="11"/>
        <v>Spełniona</v>
      </c>
      <c r="S72" s="209" t="str">
        <f t="shared" si="11"/>
        <v>Spełniona</v>
      </c>
      <c r="T72" s="209" t="str">
        <f t="shared" si="11"/>
        <v>Spełniona</v>
      </c>
      <c r="U72" s="209" t="str">
        <f t="shared" si="11"/>
        <v>Spełniona</v>
      </c>
      <c r="V72" s="209" t="str">
        <f t="shared" si="11"/>
        <v>Spełniona</v>
      </c>
      <c r="W72" s="209" t="str">
        <f t="shared" si="11"/>
        <v>Spełniona</v>
      </c>
      <c r="X72" s="209" t="str">
        <f t="shared" si="11"/>
        <v>Spełniona</v>
      </c>
      <c r="Y72" s="209" t="str">
        <f t="shared" si="11"/>
        <v>Spełniona</v>
      </c>
      <c r="Z72" s="209" t="str">
        <f t="shared" si="11"/>
        <v>Spełniona</v>
      </c>
      <c r="AA72" s="209" t="str">
        <f t="shared" si="11"/>
        <v>Spełniona</v>
      </c>
      <c r="AB72" s="209" t="str">
        <f t="shared" si="11"/>
        <v>Spełniona</v>
      </c>
      <c r="AC72" s="209" t="str">
        <f t="shared" si="11"/>
        <v>Spełniona</v>
      </c>
      <c r="AD72" s="209" t="str">
        <f t="shared" si="11"/>
        <v>Spełniona</v>
      </c>
      <c r="AE72" s="209" t="str">
        <f t="shared" si="11"/>
        <v>Spełniona</v>
      </c>
      <c r="AF72" s="209" t="str">
        <f t="shared" si="11"/>
        <v>Spełniona</v>
      </c>
      <c r="AG72" s="209" t="str">
        <f t="shared" si="11"/>
        <v>Spełniona</v>
      </c>
      <c r="AH72" s="209" t="str">
        <f t="shared" si="11"/>
        <v>Spełniona</v>
      </c>
      <c r="AI72" s="209" t="str">
        <f t="shared" si="11"/>
        <v>Spełniona</v>
      </c>
      <c r="AJ72" s="209" t="str">
        <f t="shared" si="11"/>
        <v>Spełniona</v>
      </c>
      <c r="AK72" s="209" t="str">
        <f t="shared" si="11"/>
        <v>Spełniona</v>
      </c>
      <c r="AL72" s="209" t="str">
        <f t="shared" si="11"/>
        <v>Spełniona</v>
      </c>
      <c r="AM72" s="209" t="str">
        <f t="shared" si="11"/>
        <v>Spełniona</v>
      </c>
      <c r="AN72" s="209" t="str">
        <f t="shared" si="11"/>
        <v>Spełniona</v>
      </c>
      <c r="AO72" s="209" t="str">
        <f t="shared" si="11"/>
        <v>Spełniona</v>
      </c>
      <c r="AP72" s="209" t="str">
        <f t="shared" ref="AP72:BA72" si="12">IF(AP63&lt;=AP70,"Spełniona","Nie spełniona")</f>
        <v>Spełniona</v>
      </c>
      <c r="AQ72" s="209" t="str">
        <f t="shared" si="12"/>
        <v>Spełniona</v>
      </c>
      <c r="AR72" s="209" t="str">
        <f t="shared" si="12"/>
        <v>Spełniona</v>
      </c>
      <c r="AS72" s="209" t="str">
        <f t="shared" si="12"/>
        <v>Spełniona</v>
      </c>
      <c r="AT72" s="209" t="str">
        <f t="shared" si="12"/>
        <v>Spełniona</v>
      </c>
      <c r="AU72" s="209" t="str">
        <f t="shared" si="12"/>
        <v>Spełniona</v>
      </c>
      <c r="AV72" s="209" t="str">
        <f t="shared" si="12"/>
        <v>Spełniona</v>
      </c>
      <c r="AW72" s="209" t="str">
        <f t="shared" si="12"/>
        <v>Spełniona</v>
      </c>
      <c r="AX72" s="209" t="str">
        <f t="shared" si="12"/>
        <v>Spełniona</v>
      </c>
      <c r="AY72" s="209" t="str">
        <f t="shared" si="12"/>
        <v>Spełniona</v>
      </c>
      <c r="AZ72" s="209" t="str">
        <f t="shared" si="12"/>
        <v>Spełniona</v>
      </c>
      <c r="BA72" s="210" t="str">
        <f t="shared" si="12"/>
        <v>Spełniona</v>
      </c>
    </row>
    <row r="73" spans="1:54" s="246" customFormat="1" outlineLevel="3">
      <c r="A73" s="244"/>
      <c r="B73" s="244"/>
      <c r="C73" s="65" t="s">
        <v>584</v>
      </c>
      <c r="D73" s="85" t="s">
        <v>646</v>
      </c>
      <c r="E73" s="447" t="s">
        <v>647</v>
      </c>
      <c r="F73" s="105" t="s">
        <v>27</v>
      </c>
      <c r="G73" s="105" t="s">
        <v>27</v>
      </c>
      <c r="H73" s="105" t="s">
        <v>27</v>
      </c>
      <c r="I73" s="105" t="s">
        <v>27</v>
      </c>
      <c r="J73" s="105" t="s">
        <v>27</v>
      </c>
      <c r="K73" s="75" t="s">
        <v>27</v>
      </c>
      <c r="L73" s="75" t="s">
        <v>27</v>
      </c>
      <c r="M73" s="76" t="s">
        <v>27</v>
      </c>
      <c r="N73" s="80">
        <f>0.3032</f>
        <v>0.30320000000000003</v>
      </c>
      <c r="O73" s="81">
        <f>0.2364</f>
        <v>0.2364</v>
      </c>
      <c r="P73" s="81">
        <f>0.2886</f>
        <v>0.28860000000000002</v>
      </c>
      <c r="Q73" s="81">
        <f>0.2429</f>
        <v>0.2429</v>
      </c>
      <c r="R73" s="81">
        <f>0.2</f>
        <v>0.2</v>
      </c>
      <c r="S73" s="81">
        <f>0.1598</f>
        <v>0.1598</v>
      </c>
      <c r="T73" s="81">
        <f>0.1303</f>
        <v>0.1303</v>
      </c>
      <c r="U73" s="81">
        <f>0.1027</f>
        <v>0.1027</v>
      </c>
      <c r="V73" s="81">
        <f>0.0768</f>
        <v>7.6799999999999993E-2</v>
      </c>
      <c r="W73" s="81">
        <f>0.0523</f>
        <v>5.2299999999999999E-2</v>
      </c>
      <c r="X73" s="81">
        <f>0.0257</f>
        <v>2.5700000000000001E-2</v>
      </c>
      <c r="Y73" s="81">
        <f>0</f>
        <v>0</v>
      </c>
      <c r="Z73" s="81">
        <f>0</f>
        <v>0</v>
      </c>
      <c r="AA73" s="81">
        <f>0</f>
        <v>0</v>
      </c>
      <c r="AB73" s="81">
        <f>0</f>
        <v>0</v>
      </c>
      <c r="AC73" s="81">
        <f>0</f>
        <v>0</v>
      </c>
      <c r="AD73" s="81">
        <f>0</f>
        <v>0</v>
      </c>
      <c r="AE73" s="81">
        <f>0</f>
        <v>0</v>
      </c>
      <c r="AF73" s="81">
        <f>0</f>
        <v>0</v>
      </c>
      <c r="AG73" s="81">
        <f>0</f>
        <v>0</v>
      </c>
      <c r="AH73" s="81">
        <f>0</f>
        <v>0</v>
      </c>
      <c r="AI73" s="81">
        <f>0</f>
        <v>0</v>
      </c>
      <c r="AJ73" s="81">
        <f>0</f>
        <v>0</v>
      </c>
      <c r="AK73" s="81">
        <f>0</f>
        <v>0</v>
      </c>
      <c r="AL73" s="81">
        <f>0</f>
        <v>0</v>
      </c>
      <c r="AM73" s="81">
        <f>0</f>
        <v>0</v>
      </c>
      <c r="AN73" s="81">
        <f>0</f>
        <v>0</v>
      </c>
      <c r="AO73" s="81">
        <f>0</f>
        <v>0</v>
      </c>
      <c r="AP73" s="81">
        <f>0</f>
        <v>0</v>
      </c>
      <c r="AQ73" s="81">
        <f>0</f>
        <v>0</v>
      </c>
      <c r="AR73" s="81">
        <f>0</f>
        <v>0</v>
      </c>
      <c r="AS73" s="81">
        <f>0</f>
        <v>0</v>
      </c>
      <c r="AT73" s="81">
        <f>0</f>
        <v>0</v>
      </c>
      <c r="AU73" s="81">
        <f>0</f>
        <v>0</v>
      </c>
      <c r="AV73" s="81">
        <f>0</f>
        <v>0</v>
      </c>
      <c r="AW73" s="81">
        <f>0</f>
        <v>0</v>
      </c>
      <c r="AX73" s="81">
        <f>0</f>
        <v>0</v>
      </c>
      <c r="AY73" s="81">
        <f>0</f>
        <v>0</v>
      </c>
      <c r="AZ73" s="81">
        <f>0</f>
        <v>0</v>
      </c>
      <c r="BA73" s="82">
        <f>0</f>
        <v>0</v>
      </c>
    </row>
    <row r="74" spans="1:54" s="246" customFormat="1" ht="36" outlineLevel="3">
      <c r="A74" s="244"/>
      <c r="B74" s="244"/>
      <c r="C74" s="65" t="s">
        <v>585</v>
      </c>
      <c r="D74" s="85" t="s">
        <v>659</v>
      </c>
      <c r="E74" s="447" t="s">
        <v>648</v>
      </c>
      <c r="F74" s="105" t="s">
        <v>27</v>
      </c>
      <c r="G74" s="105" t="s">
        <v>27</v>
      </c>
      <c r="H74" s="105" t="s">
        <v>27</v>
      </c>
      <c r="I74" s="105" t="s">
        <v>27</v>
      </c>
      <c r="J74" s="105" t="s">
        <v>27</v>
      </c>
      <c r="K74" s="75" t="s">
        <v>27</v>
      </c>
      <c r="L74" s="75" t="s">
        <v>27</v>
      </c>
      <c r="M74" s="76" t="s">
        <v>27</v>
      </c>
      <c r="N74" s="80">
        <f>0.0098</f>
        <v>9.7999999999999997E-3</v>
      </c>
      <c r="O74" s="81">
        <f>0.0683</f>
        <v>6.83E-2</v>
      </c>
      <c r="P74" s="81">
        <f>0.0622</f>
        <v>6.2199999999999998E-2</v>
      </c>
      <c r="Q74" s="81">
        <f>0.0607</f>
        <v>6.0699999999999997E-2</v>
      </c>
      <c r="R74" s="81">
        <f>0.0571</f>
        <v>5.7099999999999998E-2</v>
      </c>
      <c r="S74" s="81">
        <f>0.0537</f>
        <v>5.3699999999999998E-2</v>
      </c>
      <c r="T74" s="81">
        <f>0.0395</f>
        <v>3.95E-2</v>
      </c>
      <c r="U74" s="81">
        <f>0.0374</f>
        <v>3.7400000000000003E-2</v>
      </c>
      <c r="V74" s="81">
        <f>0.0355</f>
        <v>3.5499999999999997E-2</v>
      </c>
      <c r="W74" s="81">
        <f>0.0338</f>
        <v>3.3799999999999997E-2</v>
      </c>
      <c r="X74" s="81">
        <f>0.037</f>
        <v>3.6999999999999998E-2</v>
      </c>
      <c r="Y74" s="81">
        <f>0.0348</f>
        <v>3.4799999999999998E-2</v>
      </c>
      <c r="Z74" s="81">
        <f>0</f>
        <v>0</v>
      </c>
      <c r="AA74" s="81">
        <f>0</f>
        <v>0</v>
      </c>
      <c r="AB74" s="81">
        <f>0</f>
        <v>0</v>
      </c>
      <c r="AC74" s="81">
        <f>0</f>
        <v>0</v>
      </c>
      <c r="AD74" s="81">
        <f>0</f>
        <v>0</v>
      </c>
      <c r="AE74" s="81">
        <f>0</f>
        <v>0</v>
      </c>
      <c r="AF74" s="81">
        <f>0</f>
        <v>0</v>
      </c>
      <c r="AG74" s="81">
        <f>0</f>
        <v>0</v>
      </c>
      <c r="AH74" s="81">
        <f>0</f>
        <v>0</v>
      </c>
      <c r="AI74" s="81">
        <f>0</f>
        <v>0</v>
      </c>
      <c r="AJ74" s="81">
        <f>0</f>
        <v>0</v>
      </c>
      <c r="AK74" s="81">
        <f>0</f>
        <v>0</v>
      </c>
      <c r="AL74" s="81">
        <f>0</f>
        <v>0</v>
      </c>
      <c r="AM74" s="81">
        <f>0</f>
        <v>0</v>
      </c>
      <c r="AN74" s="81">
        <f>0</f>
        <v>0</v>
      </c>
      <c r="AO74" s="81">
        <f>0</f>
        <v>0</v>
      </c>
      <c r="AP74" s="81">
        <f>0</f>
        <v>0</v>
      </c>
      <c r="AQ74" s="81">
        <f>0</f>
        <v>0</v>
      </c>
      <c r="AR74" s="81">
        <f>0</f>
        <v>0</v>
      </c>
      <c r="AS74" s="81">
        <f>0</f>
        <v>0</v>
      </c>
      <c r="AT74" s="81">
        <f>0</f>
        <v>0</v>
      </c>
      <c r="AU74" s="81">
        <f>0</f>
        <v>0</v>
      </c>
      <c r="AV74" s="81">
        <f>0</f>
        <v>0</v>
      </c>
      <c r="AW74" s="81">
        <f>0</f>
        <v>0</v>
      </c>
      <c r="AX74" s="81">
        <f>0</f>
        <v>0</v>
      </c>
      <c r="AY74" s="81">
        <f>0</f>
        <v>0</v>
      </c>
      <c r="AZ74" s="81">
        <f>0</f>
        <v>0</v>
      </c>
      <c r="BA74" s="82">
        <f>0</f>
        <v>0</v>
      </c>
    </row>
    <row r="75" spans="1:54" s="246" customFormat="1" ht="48" outlineLevel="3">
      <c r="A75" s="244"/>
      <c r="B75" s="244"/>
      <c r="C75" s="65" t="s">
        <v>586</v>
      </c>
      <c r="D75" s="85"/>
      <c r="E75" s="447" t="s">
        <v>649</v>
      </c>
      <c r="F75" s="105" t="s">
        <v>27</v>
      </c>
      <c r="G75" s="105" t="s">
        <v>27</v>
      </c>
      <c r="H75" s="105" t="s">
        <v>27</v>
      </c>
      <c r="I75" s="105" t="s">
        <v>27</v>
      </c>
      <c r="J75" s="105" t="s">
        <v>27</v>
      </c>
      <c r="K75" s="75" t="s">
        <v>27</v>
      </c>
      <c r="L75" s="75" t="s">
        <v>27</v>
      </c>
      <c r="M75" s="76" t="s">
        <v>27</v>
      </c>
      <c r="N75" s="208" t="str">
        <f>IF(N$74&lt;=N$69,"Spełniona","Nie spełniona")</f>
        <v>Spełniona</v>
      </c>
      <c r="O75" s="209" t="str">
        <f t="shared" ref="O75:BA75" si="13">IF(O$74&lt;=O$69,"Spełniona","Nie spełniona")</f>
        <v>Spełniona</v>
      </c>
      <c r="P75" s="209" t="str">
        <f t="shared" si="13"/>
        <v>Spełniona</v>
      </c>
      <c r="Q75" s="209" t="str">
        <f t="shared" si="13"/>
        <v>Spełniona</v>
      </c>
      <c r="R75" s="209" t="str">
        <f t="shared" si="13"/>
        <v>Spełniona</v>
      </c>
      <c r="S75" s="209" t="str">
        <f t="shared" si="13"/>
        <v>Spełniona</v>
      </c>
      <c r="T75" s="209" t="str">
        <f t="shared" si="13"/>
        <v>Spełniona</v>
      </c>
      <c r="U75" s="209" t="str">
        <f t="shared" si="13"/>
        <v>Spełniona</v>
      </c>
      <c r="V75" s="209" t="str">
        <f t="shared" si="13"/>
        <v>Spełniona</v>
      </c>
      <c r="W75" s="209" t="str">
        <f t="shared" si="13"/>
        <v>Spełniona</v>
      </c>
      <c r="X75" s="209" t="str">
        <f t="shared" si="13"/>
        <v>Spełniona</v>
      </c>
      <c r="Y75" s="209" t="str">
        <f t="shared" si="13"/>
        <v>Spełniona</v>
      </c>
      <c r="Z75" s="209" t="str">
        <f t="shared" si="13"/>
        <v>Spełniona</v>
      </c>
      <c r="AA75" s="209" t="str">
        <f t="shared" si="13"/>
        <v>Spełniona</v>
      </c>
      <c r="AB75" s="209" t="str">
        <f t="shared" si="13"/>
        <v>Spełniona</v>
      </c>
      <c r="AC75" s="209" t="str">
        <f t="shared" si="13"/>
        <v>Spełniona</v>
      </c>
      <c r="AD75" s="209" t="str">
        <f t="shared" si="13"/>
        <v>Spełniona</v>
      </c>
      <c r="AE75" s="209" t="str">
        <f t="shared" si="13"/>
        <v>Spełniona</v>
      </c>
      <c r="AF75" s="209" t="str">
        <f t="shared" si="13"/>
        <v>Spełniona</v>
      </c>
      <c r="AG75" s="209" t="str">
        <f t="shared" si="13"/>
        <v>Spełniona</v>
      </c>
      <c r="AH75" s="209" t="str">
        <f t="shared" si="13"/>
        <v>Spełniona</v>
      </c>
      <c r="AI75" s="209" t="str">
        <f t="shared" si="13"/>
        <v>Spełniona</v>
      </c>
      <c r="AJ75" s="209" t="str">
        <f t="shared" si="13"/>
        <v>Spełniona</v>
      </c>
      <c r="AK75" s="209" t="str">
        <f t="shared" si="13"/>
        <v>Spełniona</v>
      </c>
      <c r="AL75" s="209" t="str">
        <f t="shared" si="13"/>
        <v>Spełniona</v>
      </c>
      <c r="AM75" s="209" t="str">
        <f t="shared" si="13"/>
        <v>Spełniona</v>
      </c>
      <c r="AN75" s="209" t="str">
        <f t="shared" si="13"/>
        <v>Spełniona</v>
      </c>
      <c r="AO75" s="209" t="str">
        <f t="shared" si="13"/>
        <v>Spełniona</v>
      </c>
      <c r="AP75" s="209" t="str">
        <f t="shared" si="13"/>
        <v>Spełniona</v>
      </c>
      <c r="AQ75" s="209" t="str">
        <f t="shared" si="13"/>
        <v>Spełniona</v>
      </c>
      <c r="AR75" s="209" t="str">
        <f t="shared" si="13"/>
        <v>Spełniona</v>
      </c>
      <c r="AS75" s="209" t="str">
        <f t="shared" si="13"/>
        <v>Spełniona</v>
      </c>
      <c r="AT75" s="209" t="str">
        <f t="shared" si="13"/>
        <v>Spełniona</v>
      </c>
      <c r="AU75" s="209" t="str">
        <f t="shared" si="13"/>
        <v>Spełniona</v>
      </c>
      <c r="AV75" s="209" t="str">
        <f t="shared" si="13"/>
        <v>Spełniona</v>
      </c>
      <c r="AW75" s="209" t="str">
        <f t="shared" si="13"/>
        <v>Spełniona</v>
      </c>
      <c r="AX75" s="209" t="str">
        <f t="shared" si="13"/>
        <v>Spełniona</v>
      </c>
      <c r="AY75" s="209" t="str">
        <f t="shared" si="13"/>
        <v>Spełniona</v>
      </c>
      <c r="AZ75" s="209" t="str">
        <f t="shared" si="13"/>
        <v>Spełniona</v>
      </c>
      <c r="BA75" s="210" t="str">
        <f t="shared" si="13"/>
        <v>Spełniona</v>
      </c>
    </row>
    <row r="76" spans="1:54" s="246" customFormat="1" ht="48" outlineLevel="3">
      <c r="A76" s="244"/>
      <c r="B76" s="244"/>
      <c r="C76" s="65" t="s">
        <v>587</v>
      </c>
      <c r="D76" s="85"/>
      <c r="E76" s="109" t="s">
        <v>650</v>
      </c>
      <c r="F76" s="105" t="s">
        <v>27</v>
      </c>
      <c r="G76" s="105" t="s">
        <v>27</v>
      </c>
      <c r="H76" s="105" t="s">
        <v>27</v>
      </c>
      <c r="I76" s="105" t="s">
        <v>27</v>
      </c>
      <c r="J76" s="105" t="s">
        <v>27</v>
      </c>
      <c r="K76" s="75" t="s">
        <v>27</v>
      </c>
      <c r="L76" s="75" t="s">
        <v>27</v>
      </c>
      <c r="M76" s="76" t="s">
        <v>27</v>
      </c>
      <c r="N76" s="208" t="str">
        <f>IF(N$74&lt;=N$70,"Spełniona","Nie spełniona")</f>
        <v>Spełniona</v>
      </c>
      <c r="O76" s="209" t="str">
        <f t="shared" ref="O76:BA76" si="14">IF(O$74&lt;=O$70,"Spełniona","Nie spełniona")</f>
        <v>Spełniona</v>
      </c>
      <c r="P76" s="209" t="str">
        <f t="shared" si="14"/>
        <v>Spełniona</v>
      </c>
      <c r="Q76" s="209" t="str">
        <f t="shared" si="14"/>
        <v>Spełniona</v>
      </c>
      <c r="R76" s="209" t="str">
        <f t="shared" si="14"/>
        <v>Spełniona</v>
      </c>
      <c r="S76" s="209" t="str">
        <f t="shared" si="14"/>
        <v>Spełniona</v>
      </c>
      <c r="T76" s="209" t="str">
        <f t="shared" si="14"/>
        <v>Spełniona</v>
      </c>
      <c r="U76" s="209" t="str">
        <f t="shared" si="14"/>
        <v>Spełniona</v>
      </c>
      <c r="V76" s="209" t="str">
        <f t="shared" si="14"/>
        <v>Spełniona</v>
      </c>
      <c r="W76" s="209" t="str">
        <f t="shared" si="14"/>
        <v>Spełniona</v>
      </c>
      <c r="X76" s="209" t="str">
        <f t="shared" si="14"/>
        <v>Spełniona</v>
      </c>
      <c r="Y76" s="209" t="str">
        <f t="shared" si="14"/>
        <v>Spełniona</v>
      </c>
      <c r="Z76" s="209" t="str">
        <f t="shared" si="14"/>
        <v>Spełniona</v>
      </c>
      <c r="AA76" s="209" t="str">
        <f t="shared" si="14"/>
        <v>Spełniona</v>
      </c>
      <c r="AB76" s="209" t="str">
        <f t="shared" si="14"/>
        <v>Spełniona</v>
      </c>
      <c r="AC76" s="209" t="str">
        <f t="shared" si="14"/>
        <v>Spełniona</v>
      </c>
      <c r="AD76" s="209" t="str">
        <f t="shared" si="14"/>
        <v>Spełniona</v>
      </c>
      <c r="AE76" s="209" t="str">
        <f t="shared" si="14"/>
        <v>Spełniona</v>
      </c>
      <c r="AF76" s="209" t="str">
        <f t="shared" si="14"/>
        <v>Spełniona</v>
      </c>
      <c r="AG76" s="209" t="str">
        <f t="shared" si="14"/>
        <v>Spełniona</v>
      </c>
      <c r="AH76" s="209" t="str">
        <f t="shared" si="14"/>
        <v>Spełniona</v>
      </c>
      <c r="AI76" s="209" t="str">
        <f t="shared" si="14"/>
        <v>Spełniona</v>
      </c>
      <c r="AJ76" s="209" t="str">
        <f t="shared" si="14"/>
        <v>Spełniona</v>
      </c>
      <c r="AK76" s="209" t="str">
        <f t="shared" si="14"/>
        <v>Spełniona</v>
      </c>
      <c r="AL76" s="209" t="str">
        <f t="shared" si="14"/>
        <v>Spełniona</v>
      </c>
      <c r="AM76" s="209" t="str">
        <f t="shared" si="14"/>
        <v>Spełniona</v>
      </c>
      <c r="AN76" s="209" t="str">
        <f t="shared" si="14"/>
        <v>Spełniona</v>
      </c>
      <c r="AO76" s="209" t="str">
        <f t="shared" si="14"/>
        <v>Spełniona</v>
      </c>
      <c r="AP76" s="209" t="str">
        <f t="shared" si="14"/>
        <v>Spełniona</v>
      </c>
      <c r="AQ76" s="209" t="str">
        <f t="shared" si="14"/>
        <v>Spełniona</v>
      </c>
      <c r="AR76" s="209" t="str">
        <f t="shared" si="14"/>
        <v>Spełniona</v>
      </c>
      <c r="AS76" s="209" t="str">
        <f t="shared" si="14"/>
        <v>Spełniona</v>
      </c>
      <c r="AT76" s="209" t="str">
        <f t="shared" si="14"/>
        <v>Spełniona</v>
      </c>
      <c r="AU76" s="209" t="str">
        <f t="shared" si="14"/>
        <v>Spełniona</v>
      </c>
      <c r="AV76" s="209" t="str">
        <f t="shared" si="14"/>
        <v>Spełniona</v>
      </c>
      <c r="AW76" s="209" t="str">
        <f t="shared" si="14"/>
        <v>Spełniona</v>
      </c>
      <c r="AX76" s="209" t="str">
        <f t="shared" si="14"/>
        <v>Spełniona</v>
      </c>
      <c r="AY76" s="209" t="str">
        <f t="shared" si="14"/>
        <v>Spełniona</v>
      </c>
      <c r="AZ76" s="209" t="str">
        <f t="shared" si="14"/>
        <v>Spełniona</v>
      </c>
      <c r="BA76" s="210" t="str">
        <f t="shared" si="14"/>
        <v>Spełniona</v>
      </c>
    </row>
    <row r="77" spans="1:54" ht="24">
      <c r="A77" s="244"/>
      <c r="B77" s="244"/>
      <c r="C77" s="22">
        <v>9</v>
      </c>
      <c r="D77" s="85"/>
      <c r="E77" s="111" t="s">
        <v>50</v>
      </c>
      <c r="F77" s="105" t="s">
        <v>27</v>
      </c>
      <c r="G77" s="105" t="s">
        <v>27</v>
      </c>
      <c r="H77" s="105" t="s">
        <v>27</v>
      </c>
      <c r="I77" s="105" t="s">
        <v>27</v>
      </c>
      <c r="J77" s="105" t="s">
        <v>27</v>
      </c>
      <c r="K77" s="75" t="s">
        <v>27</v>
      </c>
      <c r="L77" s="75" t="s">
        <v>27</v>
      </c>
      <c r="M77" s="76" t="s">
        <v>27</v>
      </c>
      <c r="N77" s="77" t="s">
        <v>27</v>
      </c>
      <c r="O77" s="78" t="s">
        <v>27</v>
      </c>
      <c r="P77" s="78" t="s">
        <v>27</v>
      </c>
      <c r="Q77" s="78" t="s">
        <v>27</v>
      </c>
      <c r="R77" s="78" t="s">
        <v>27</v>
      </c>
      <c r="S77" s="78" t="s">
        <v>27</v>
      </c>
      <c r="T77" s="78" t="s">
        <v>27</v>
      </c>
      <c r="U77" s="78" t="s">
        <v>27</v>
      </c>
      <c r="V77" s="78" t="s">
        <v>27</v>
      </c>
      <c r="W77" s="78" t="s">
        <v>27</v>
      </c>
      <c r="X77" s="78" t="s">
        <v>27</v>
      </c>
      <c r="Y77" s="78" t="s">
        <v>27</v>
      </c>
      <c r="Z77" s="78" t="s">
        <v>27</v>
      </c>
      <c r="AA77" s="78" t="s">
        <v>27</v>
      </c>
      <c r="AB77" s="78" t="s">
        <v>27</v>
      </c>
      <c r="AC77" s="78" t="s">
        <v>27</v>
      </c>
      <c r="AD77" s="78" t="s">
        <v>27</v>
      </c>
      <c r="AE77" s="78" t="s">
        <v>27</v>
      </c>
      <c r="AF77" s="78" t="s">
        <v>27</v>
      </c>
      <c r="AG77" s="78" t="s">
        <v>27</v>
      </c>
      <c r="AH77" s="78" t="s">
        <v>27</v>
      </c>
      <c r="AI77" s="78" t="s">
        <v>27</v>
      </c>
      <c r="AJ77" s="78" t="s">
        <v>27</v>
      </c>
      <c r="AK77" s="78" t="s">
        <v>27</v>
      </c>
      <c r="AL77" s="78" t="s">
        <v>27</v>
      </c>
      <c r="AM77" s="78" t="s">
        <v>27</v>
      </c>
      <c r="AN77" s="78" t="s">
        <v>27</v>
      </c>
      <c r="AO77" s="78" t="s">
        <v>27</v>
      </c>
      <c r="AP77" s="78" t="s">
        <v>27</v>
      </c>
      <c r="AQ77" s="78" t="s">
        <v>27</v>
      </c>
      <c r="AR77" s="78" t="s">
        <v>27</v>
      </c>
      <c r="AS77" s="78" t="s">
        <v>27</v>
      </c>
      <c r="AT77" s="78" t="s">
        <v>27</v>
      </c>
      <c r="AU77" s="78" t="s">
        <v>27</v>
      </c>
      <c r="AV77" s="78" t="s">
        <v>27</v>
      </c>
      <c r="AW77" s="78" t="s">
        <v>27</v>
      </c>
      <c r="AX77" s="78" t="s">
        <v>27</v>
      </c>
      <c r="AY77" s="78" t="s">
        <v>27</v>
      </c>
      <c r="AZ77" s="78" t="s">
        <v>27</v>
      </c>
      <c r="BA77" s="79" t="s">
        <v>27</v>
      </c>
    </row>
    <row r="78" spans="1:54" ht="24" outlineLevel="1">
      <c r="A78" s="244"/>
      <c r="B78" s="244"/>
      <c r="C78" s="65" t="s">
        <v>66</v>
      </c>
      <c r="D78" s="85"/>
      <c r="E78" s="447" t="s">
        <v>335</v>
      </c>
      <c r="F78" s="103">
        <f>217662.59</f>
        <v>217662.59</v>
      </c>
      <c r="G78" s="103">
        <f>121406.25</f>
        <v>121406.25</v>
      </c>
      <c r="H78" s="103">
        <f>623499.63</f>
        <v>623499.63</v>
      </c>
      <c r="I78" s="103">
        <f>939718.53</f>
        <v>939718.53</v>
      </c>
      <c r="J78" s="103">
        <f>1013199.41</f>
        <v>1013199.41</v>
      </c>
      <c r="K78" s="68">
        <f>1090624.22</f>
        <v>1090624.22</v>
      </c>
      <c r="L78" s="68">
        <f>1352740</f>
        <v>1352740</v>
      </c>
      <c r="M78" s="69">
        <f>1261445.94</f>
        <v>1261445.94</v>
      </c>
      <c r="N78" s="70">
        <f>1933369</f>
        <v>1933369</v>
      </c>
      <c r="O78" s="71">
        <f>0</f>
        <v>0</v>
      </c>
      <c r="P78" s="71">
        <f>0</f>
        <v>0</v>
      </c>
      <c r="Q78" s="71">
        <f>0</f>
        <v>0</v>
      </c>
      <c r="R78" s="71">
        <f>0</f>
        <v>0</v>
      </c>
      <c r="S78" s="71">
        <f>0</f>
        <v>0</v>
      </c>
      <c r="T78" s="71">
        <f>0</f>
        <v>0</v>
      </c>
      <c r="U78" s="71">
        <f>0</f>
        <v>0</v>
      </c>
      <c r="V78" s="71">
        <f>0</f>
        <v>0</v>
      </c>
      <c r="W78" s="71">
        <f>0</f>
        <v>0</v>
      </c>
      <c r="X78" s="71">
        <f>0</f>
        <v>0</v>
      </c>
      <c r="Y78" s="71">
        <f>0</f>
        <v>0</v>
      </c>
      <c r="Z78" s="71">
        <f>0</f>
        <v>0</v>
      </c>
      <c r="AA78" s="71">
        <f>0</f>
        <v>0</v>
      </c>
      <c r="AB78" s="71">
        <f>0</f>
        <v>0</v>
      </c>
      <c r="AC78" s="71">
        <f>0</f>
        <v>0</v>
      </c>
      <c r="AD78" s="71">
        <f>0</f>
        <v>0</v>
      </c>
      <c r="AE78" s="71">
        <f>0</f>
        <v>0</v>
      </c>
      <c r="AF78" s="71">
        <f>0</f>
        <v>0</v>
      </c>
      <c r="AG78" s="71">
        <f>0</f>
        <v>0</v>
      </c>
      <c r="AH78" s="71">
        <f>0</f>
        <v>0</v>
      </c>
      <c r="AI78" s="71">
        <f>0</f>
        <v>0</v>
      </c>
      <c r="AJ78" s="71">
        <f>0</f>
        <v>0</v>
      </c>
      <c r="AK78" s="71">
        <f>0</f>
        <v>0</v>
      </c>
      <c r="AL78" s="71">
        <f>0</f>
        <v>0</v>
      </c>
      <c r="AM78" s="71">
        <f>0</f>
        <v>0</v>
      </c>
      <c r="AN78" s="71">
        <f>0</f>
        <v>0</v>
      </c>
      <c r="AO78" s="71">
        <f>0</f>
        <v>0</v>
      </c>
      <c r="AP78" s="71">
        <f>0</f>
        <v>0</v>
      </c>
      <c r="AQ78" s="71">
        <f>0</f>
        <v>0</v>
      </c>
      <c r="AR78" s="71">
        <f>0</f>
        <v>0</v>
      </c>
      <c r="AS78" s="71">
        <f>0</f>
        <v>0</v>
      </c>
      <c r="AT78" s="71">
        <f>0</f>
        <v>0</v>
      </c>
      <c r="AU78" s="71">
        <f>0</f>
        <v>0</v>
      </c>
      <c r="AV78" s="71">
        <f>0</f>
        <v>0</v>
      </c>
      <c r="AW78" s="71">
        <f>0</f>
        <v>0</v>
      </c>
      <c r="AX78" s="71">
        <f>0</f>
        <v>0</v>
      </c>
      <c r="AY78" s="71">
        <f>0</f>
        <v>0</v>
      </c>
      <c r="AZ78" s="71">
        <f>0</f>
        <v>0</v>
      </c>
      <c r="BA78" s="72">
        <f>0</f>
        <v>0</v>
      </c>
    </row>
    <row r="79" spans="1:54" ht="24" outlineLevel="2">
      <c r="A79" s="244" t="s">
        <v>27</v>
      </c>
      <c r="B79" s="244" t="s">
        <v>27</v>
      </c>
      <c r="C79" s="65" t="s">
        <v>283</v>
      </c>
      <c r="D79" s="85"/>
      <c r="E79" s="109" t="s">
        <v>336</v>
      </c>
      <c r="F79" s="103">
        <f>217662.59</f>
        <v>217662.59</v>
      </c>
      <c r="G79" s="103">
        <f>121406.25</f>
        <v>121406.25</v>
      </c>
      <c r="H79" s="103">
        <f>623499.63</f>
        <v>623499.63</v>
      </c>
      <c r="I79" s="103">
        <f>939718.53</f>
        <v>939718.53</v>
      </c>
      <c r="J79" s="103">
        <f>1013199.41</f>
        <v>1013199.41</v>
      </c>
      <c r="K79" s="68">
        <f>1090624.22</f>
        <v>1090624.22</v>
      </c>
      <c r="L79" s="68">
        <f>1352740</f>
        <v>1352740</v>
      </c>
      <c r="M79" s="69">
        <f>1261445.94</f>
        <v>1261445.94</v>
      </c>
      <c r="N79" s="70">
        <f>1933369</f>
        <v>1933369</v>
      </c>
      <c r="O79" s="71">
        <f>0</f>
        <v>0</v>
      </c>
      <c r="P79" s="71">
        <f>0</f>
        <v>0</v>
      </c>
      <c r="Q79" s="71">
        <f>0</f>
        <v>0</v>
      </c>
      <c r="R79" s="71">
        <f>0</f>
        <v>0</v>
      </c>
      <c r="S79" s="71">
        <f>0</f>
        <v>0</v>
      </c>
      <c r="T79" s="71">
        <f>0</f>
        <v>0</v>
      </c>
      <c r="U79" s="71">
        <f>0</f>
        <v>0</v>
      </c>
      <c r="V79" s="71">
        <f>0</f>
        <v>0</v>
      </c>
      <c r="W79" s="71">
        <f>0</f>
        <v>0</v>
      </c>
      <c r="X79" s="71">
        <f>0</f>
        <v>0</v>
      </c>
      <c r="Y79" s="71">
        <f>0</f>
        <v>0</v>
      </c>
      <c r="Z79" s="71">
        <f>0</f>
        <v>0</v>
      </c>
      <c r="AA79" s="71">
        <f>0</f>
        <v>0</v>
      </c>
      <c r="AB79" s="71">
        <f>0</f>
        <v>0</v>
      </c>
      <c r="AC79" s="71">
        <f>0</f>
        <v>0</v>
      </c>
      <c r="AD79" s="71">
        <f>0</f>
        <v>0</v>
      </c>
      <c r="AE79" s="71">
        <f>0</f>
        <v>0</v>
      </c>
      <c r="AF79" s="71">
        <f>0</f>
        <v>0</v>
      </c>
      <c r="AG79" s="71">
        <f>0</f>
        <v>0</v>
      </c>
      <c r="AH79" s="71">
        <f>0</f>
        <v>0</v>
      </c>
      <c r="AI79" s="71">
        <f>0</f>
        <v>0</v>
      </c>
      <c r="AJ79" s="71">
        <f>0</f>
        <v>0</v>
      </c>
      <c r="AK79" s="71">
        <f>0</f>
        <v>0</v>
      </c>
      <c r="AL79" s="71">
        <f>0</f>
        <v>0</v>
      </c>
      <c r="AM79" s="71">
        <f>0</f>
        <v>0</v>
      </c>
      <c r="AN79" s="71">
        <f>0</f>
        <v>0</v>
      </c>
      <c r="AO79" s="71">
        <f>0</f>
        <v>0</v>
      </c>
      <c r="AP79" s="71">
        <f>0</f>
        <v>0</v>
      </c>
      <c r="AQ79" s="71">
        <f>0</f>
        <v>0</v>
      </c>
      <c r="AR79" s="71">
        <f>0</f>
        <v>0</v>
      </c>
      <c r="AS79" s="71">
        <f>0</f>
        <v>0</v>
      </c>
      <c r="AT79" s="71">
        <f>0</f>
        <v>0</v>
      </c>
      <c r="AU79" s="71">
        <f>0</f>
        <v>0</v>
      </c>
      <c r="AV79" s="71">
        <f>0</f>
        <v>0</v>
      </c>
      <c r="AW79" s="71">
        <f>0</f>
        <v>0</v>
      </c>
      <c r="AX79" s="71">
        <f>0</f>
        <v>0</v>
      </c>
      <c r="AY79" s="71">
        <f>0</f>
        <v>0</v>
      </c>
      <c r="AZ79" s="71">
        <f>0</f>
        <v>0</v>
      </c>
      <c r="BA79" s="72">
        <f>0</f>
        <v>0</v>
      </c>
    </row>
    <row r="80" spans="1:54" ht="15" outlineLevel="3">
      <c r="A80" s="244"/>
      <c r="B80" s="244"/>
      <c r="C80" s="65" t="s">
        <v>284</v>
      </c>
      <c r="D80" s="85"/>
      <c r="E80" s="458" t="s">
        <v>337</v>
      </c>
      <c r="F80" s="103">
        <f>191152.54</f>
        <v>191152.54</v>
      </c>
      <c r="G80" s="103">
        <f>121406.25</f>
        <v>121406.25</v>
      </c>
      <c r="H80" s="103">
        <f>620247.63</f>
        <v>620247.63</v>
      </c>
      <c r="I80" s="103">
        <f>919369.29</f>
        <v>919369.29</v>
      </c>
      <c r="J80" s="103">
        <f>931273.71</f>
        <v>931273.71</v>
      </c>
      <c r="K80" s="68">
        <f>1033964.91</f>
        <v>1033964.91</v>
      </c>
      <c r="L80" s="68">
        <f>1347126</f>
        <v>1347126</v>
      </c>
      <c r="M80" s="69">
        <f>1261445.94</f>
        <v>1261445.94</v>
      </c>
      <c r="N80" s="70">
        <f>1933369</f>
        <v>1933369</v>
      </c>
      <c r="O80" s="71">
        <f>0</f>
        <v>0</v>
      </c>
      <c r="P80" s="71">
        <f>0</f>
        <v>0</v>
      </c>
      <c r="Q80" s="71">
        <f>0</f>
        <v>0</v>
      </c>
      <c r="R80" s="71">
        <f>0</f>
        <v>0</v>
      </c>
      <c r="S80" s="71">
        <f>0</f>
        <v>0</v>
      </c>
      <c r="T80" s="71">
        <f>0</f>
        <v>0</v>
      </c>
      <c r="U80" s="71">
        <f>0</f>
        <v>0</v>
      </c>
      <c r="V80" s="71">
        <f>0</f>
        <v>0</v>
      </c>
      <c r="W80" s="71">
        <f>0</f>
        <v>0</v>
      </c>
      <c r="X80" s="71">
        <f>0</f>
        <v>0</v>
      </c>
      <c r="Y80" s="71">
        <f>0</f>
        <v>0</v>
      </c>
      <c r="Z80" s="71">
        <f>0</f>
        <v>0</v>
      </c>
      <c r="AA80" s="71">
        <f>0</f>
        <v>0</v>
      </c>
      <c r="AB80" s="71">
        <f>0</f>
        <v>0</v>
      </c>
      <c r="AC80" s="71">
        <f>0</f>
        <v>0</v>
      </c>
      <c r="AD80" s="71">
        <f>0</f>
        <v>0</v>
      </c>
      <c r="AE80" s="71">
        <f>0</f>
        <v>0</v>
      </c>
      <c r="AF80" s="71">
        <f>0</f>
        <v>0</v>
      </c>
      <c r="AG80" s="71">
        <f>0</f>
        <v>0</v>
      </c>
      <c r="AH80" s="71">
        <f>0</f>
        <v>0</v>
      </c>
      <c r="AI80" s="71">
        <f>0</f>
        <v>0</v>
      </c>
      <c r="AJ80" s="71">
        <f>0</f>
        <v>0</v>
      </c>
      <c r="AK80" s="71">
        <f>0</f>
        <v>0</v>
      </c>
      <c r="AL80" s="71">
        <f>0</f>
        <v>0</v>
      </c>
      <c r="AM80" s="71">
        <f>0</f>
        <v>0</v>
      </c>
      <c r="AN80" s="71">
        <f>0</f>
        <v>0</v>
      </c>
      <c r="AO80" s="71">
        <f>0</f>
        <v>0</v>
      </c>
      <c r="AP80" s="71">
        <f>0</f>
        <v>0</v>
      </c>
      <c r="AQ80" s="71">
        <f>0</f>
        <v>0</v>
      </c>
      <c r="AR80" s="71">
        <f>0</f>
        <v>0</v>
      </c>
      <c r="AS80" s="71">
        <f>0</f>
        <v>0</v>
      </c>
      <c r="AT80" s="71">
        <f>0</f>
        <v>0</v>
      </c>
      <c r="AU80" s="71">
        <f>0</f>
        <v>0</v>
      </c>
      <c r="AV80" s="71">
        <f>0</f>
        <v>0</v>
      </c>
      <c r="AW80" s="71">
        <f>0</f>
        <v>0</v>
      </c>
      <c r="AX80" s="71">
        <f>0</f>
        <v>0</v>
      </c>
      <c r="AY80" s="71">
        <f>0</f>
        <v>0</v>
      </c>
      <c r="AZ80" s="71">
        <f>0</f>
        <v>0</v>
      </c>
      <c r="BA80" s="72">
        <f>0</f>
        <v>0</v>
      </c>
      <c r="BB80" s="21"/>
    </row>
    <row r="81" spans="1:53" ht="24" outlineLevel="1">
      <c r="A81" s="244"/>
      <c r="B81" s="244"/>
      <c r="C81" s="65" t="s">
        <v>67</v>
      </c>
      <c r="D81" s="85"/>
      <c r="E81" s="447" t="s">
        <v>338</v>
      </c>
      <c r="F81" s="103">
        <f>0</f>
        <v>0</v>
      </c>
      <c r="G81" s="103">
        <f>0</f>
        <v>0</v>
      </c>
      <c r="H81" s="103">
        <f>0</f>
        <v>0</v>
      </c>
      <c r="I81" s="103">
        <f>3393080.19</f>
        <v>3393080.19</v>
      </c>
      <c r="J81" s="103">
        <f>6114655.17</f>
        <v>6114655.1699999999</v>
      </c>
      <c r="K81" s="68">
        <f>3012293.07</f>
        <v>3012293.07</v>
      </c>
      <c r="L81" s="68">
        <f>0</f>
        <v>0</v>
      </c>
      <c r="M81" s="69">
        <f>0</f>
        <v>0</v>
      </c>
      <c r="N81" s="70">
        <f>2790427</f>
        <v>2790427</v>
      </c>
      <c r="O81" s="71">
        <f>0</f>
        <v>0</v>
      </c>
      <c r="P81" s="71">
        <f>0</f>
        <v>0</v>
      </c>
      <c r="Q81" s="71">
        <f>0</f>
        <v>0</v>
      </c>
      <c r="R81" s="71">
        <f>0</f>
        <v>0</v>
      </c>
      <c r="S81" s="71">
        <f>0</f>
        <v>0</v>
      </c>
      <c r="T81" s="71">
        <f>0</f>
        <v>0</v>
      </c>
      <c r="U81" s="71">
        <f>0</f>
        <v>0</v>
      </c>
      <c r="V81" s="71">
        <f>0</f>
        <v>0</v>
      </c>
      <c r="W81" s="71">
        <f>0</f>
        <v>0</v>
      </c>
      <c r="X81" s="71">
        <f>0</f>
        <v>0</v>
      </c>
      <c r="Y81" s="71">
        <f>0</f>
        <v>0</v>
      </c>
      <c r="Z81" s="71">
        <f>0</f>
        <v>0</v>
      </c>
      <c r="AA81" s="71">
        <f>0</f>
        <v>0</v>
      </c>
      <c r="AB81" s="71">
        <f>0</f>
        <v>0</v>
      </c>
      <c r="AC81" s="71">
        <f>0</f>
        <v>0</v>
      </c>
      <c r="AD81" s="71">
        <f>0</f>
        <v>0</v>
      </c>
      <c r="AE81" s="71">
        <f>0</f>
        <v>0</v>
      </c>
      <c r="AF81" s="71">
        <f>0</f>
        <v>0</v>
      </c>
      <c r="AG81" s="71">
        <f>0</f>
        <v>0</v>
      </c>
      <c r="AH81" s="71">
        <f>0</f>
        <v>0</v>
      </c>
      <c r="AI81" s="71">
        <f>0</f>
        <v>0</v>
      </c>
      <c r="AJ81" s="71">
        <f>0</f>
        <v>0</v>
      </c>
      <c r="AK81" s="71">
        <f>0</f>
        <v>0</v>
      </c>
      <c r="AL81" s="71">
        <f>0</f>
        <v>0</v>
      </c>
      <c r="AM81" s="71">
        <f>0</f>
        <v>0</v>
      </c>
      <c r="AN81" s="71">
        <f>0</f>
        <v>0</v>
      </c>
      <c r="AO81" s="71">
        <f>0</f>
        <v>0</v>
      </c>
      <c r="AP81" s="71">
        <f>0</f>
        <v>0</v>
      </c>
      <c r="AQ81" s="71">
        <f>0</f>
        <v>0</v>
      </c>
      <c r="AR81" s="71">
        <f>0</f>
        <v>0</v>
      </c>
      <c r="AS81" s="71">
        <f>0</f>
        <v>0</v>
      </c>
      <c r="AT81" s="71">
        <f>0</f>
        <v>0</v>
      </c>
      <c r="AU81" s="71">
        <f>0</f>
        <v>0</v>
      </c>
      <c r="AV81" s="71">
        <f>0</f>
        <v>0</v>
      </c>
      <c r="AW81" s="71">
        <f>0</f>
        <v>0</v>
      </c>
      <c r="AX81" s="71">
        <f>0</f>
        <v>0</v>
      </c>
      <c r="AY81" s="71">
        <f>0</f>
        <v>0</v>
      </c>
      <c r="AZ81" s="71">
        <f>0</f>
        <v>0</v>
      </c>
      <c r="BA81" s="72">
        <f>0</f>
        <v>0</v>
      </c>
    </row>
    <row r="82" spans="1:53" ht="24" outlineLevel="2">
      <c r="A82" s="244"/>
      <c r="B82" s="244"/>
      <c r="C82" s="65" t="s">
        <v>285</v>
      </c>
      <c r="D82" s="85"/>
      <c r="E82" s="109" t="s">
        <v>339</v>
      </c>
      <c r="F82" s="103">
        <f>0</f>
        <v>0</v>
      </c>
      <c r="G82" s="103">
        <f>0</f>
        <v>0</v>
      </c>
      <c r="H82" s="103">
        <f>0</f>
        <v>0</v>
      </c>
      <c r="I82" s="103">
        <f>3393080.19</f>
        <v>3393080.19</v>
      </c>
      <c r="J82" s="103">
        <f>6114655.17</f>
        <v>6114655.1699999999</v>
      </c>
      <c r="K82" s="68">
        <f>3012293.07</f>
        <v>3012293.07</v>
      </c>
      <c r="L82" s="68">
        <f>0</f>
        <v>0</v>
      </c>
      <c r="M82" s="69">
        <f>0</f>
        <v>0</v>
      </c>
      <c r="N82" s="70">
        <f>2790427</f>
        <v>2790427</v>
      </c>
      <c r="O82" s="71">
        <f>0</f>
        <v>0</v>
      </c>
      <c r="P82" s="71">
        <f>0</f>
        <v>0</v>
      </c>
      <c r="Q82" s="71">
        <f>0</f>
        <v>0</v>
      </c>
      <c r="R82" s="71">
        <f>0</f>
        <v>0</v>
      </c>
      <c r="S82" s="71">
        <f>0</f>
        <v>0</v>
      </c>
      <c r="T82" s="71">
        <f>0</f>
        <v>0</v>
      </c>
      <c r="U82" s="71">
        <f>0</f>
        <v>0</v>
      </c>
      <c r="V82" s="71">
        <f>0</f>
        <v>0</v>
      </c>
      <c r="W82" s="71">
        <f>0</f>
        <v>0</v>
      </c>
      <c r="X82" s="71">
        <f>0</f>
        <v>0</v>
      </c>
      <c r="Y82" s="71">
        <f>0</f>
        <v>0</v>
      </c>
      <c r="Z82" s="71">
        <f>0</f>
        <v>0</v>
      </c>
      <c r="AA82" s="71">
        <f>0</f>
        <v>0</v>
      </c>
      <c r="AB82" s="71">
        <f>0</f>
        <v>0</v>
      </c>
      <c r="AC82" s="71">
        <f>0</f>
        <v>0</v>
      </c>
      <c r="AD82" s="71">
        <f>0</f>
        <v>0</v>
      </c>
      <c r="AE82" s="71">
        <f>0</f>
        <v>0</v>
      </c>
      <c r="AF82" s="71">
        <f>0</f>
        <v>0</v>
      </c>
      <c r="AG82" s="71">
        <f>0</f>
        <v>0</v>
      </c>
      <c r="AH82" s="71">
        <f>0</f>
        <v>0</v>
      </c>
      <c r="AI82" s="71">
        <f>0</f>
        <v>0</v>
      </c>
      <c r="AJ82" s="71">
        <f>0</f>
        <v>0</v>
      </c>
      <c r="AK82" s="71">
        <f>0</f>
        <v>0</v>
      </c>
      <c r="AL82" s="71">
        <f>0</f>
        <v>0</v>
      </c>
      <c r="AM82" s="71">
        <f>0</f>
        <v>0</v>
      </c>
      <c r="AN82" s="71">
        <f>0</f>
        <v>0</v>
      </c>
      <c r="AO82" s="71">
        <f>0</f>
        <v>0</v>
      </c>
      <c r="AP82" s="71">
        <f>0</f>
        <v>0</v>
      </c>
      <c r="AQ82" s="71">
        <f>0</f>
        <v>0</v>
      </c>
      <c r="AR82" s="71">
        <f>0</f>
        <v>0</v>
      </c>
      <c r="AS82" s="71">
        <f>0</f>
        <v>0</v>
      </c>
      <c r="AT82" s="71">
        <f>0</f>
        <v>0</v>
      </c>
      <c r="AU82" s="71">
        <f>0</f>
        <v>0</v>
      </c>
      <c r="AV82" s="71">
        <f>0</f>
        <v>0</v>
      </c>
      <c r="AW82" s="71">
        <f>0</f>
        <v>0</v>
      </c>
      <c r="AX82" s="71">
        <f>0</f>
        <v>0</v>
      </c>
      <c r="AY82" s="71">
        <f>0</f>
        <v>0</v>
      </c>
      <c r="AZ82" s="71">
        <f>0</f>
        <v>0</v>
      </c>
      <c r="BA82" s="72">
        <f>0</f>
        <v>0</v>
      </c>
    </row>
    <row r="83" spans="1:53" outlineLevel="3">
      <c r="A83" s="244"/>
      <c r="B83" s="244"/>
      <c r="C83" s="65" t="s">
        <v>286</v>
      </c>
      <c r="D83" s="85"/>
      <c r="E83" s="458" t="s">
        <v>337</v>
      </c>
      <c r="F83" s="103">
        <f>0</f>
        <v>0</v>
      </c>
      <c r="G83" s="103">
        <f>0</f>
        <v>0</v>
      </c>
      <c r="H83" s="103">
        <f>0</f>
        <v>0</v>
      </c>
      <c r="I83" s="103">
        <f>2964071.43</f>
        <v>2964071.43</v>
      </c>
      <c r="J83" s="103">
        <f>6114655.17</f>
        <v>6114655.1699999999</v>
      </c>
      <c r="K83" s="68">
        <f>3012293.07</f>
        <v>3012293.07</v>
      </c>
      <c r="L83" s="68">
        <f>0</f>
        <v>0</v>
      </c>
      <c r="M83" s="69">
        <f>0</f>
        <v>0</v>
      </c>
      <c r="N83" s="70">
        <f>2790427</f>
        <v>2790427</v>
      </c>
      <c r="O83" s="71">
        <f>0</f>
        <v>0</v>
      </c>
      <c r="P83" s="71">
        <f>0</f>
        <v>0</v>
      </c>
      <c r="Q83" s="71">
        <f>0</f>
        <v>0</v>
      </c>
      <c r="R83" s="71">
        <f>0</f>
        <v>0</v>
      </c>
      <c r="S83" s="71">
        <f>0</f>
        <v>0</v>
      </c>
      <c r="T83" s="71">
        <f>0</f>
        <v>0</v>
      </c>
      <c r="U83" s="71">
        <f>0</f>
        <v>0</v>
      </c>
      <c r="V83" s="71">
        <f>0</f>
        <v>0</v>
      </c>
      <c r="W83" s="71">
        <f>0</f>
        <v>0</v>
      </c>
      <c r="X83" s="71">
        <f>0</f>
        <v>0</v>
      </c>
      <c r="Y83" s="71">
        <f>0</f>
        <v>0</v>
      </c>
      <c r="Z83" s="71">
        <f>0</f>
        <v>0</v>
      </c>
      <c r="AA83" s="71">
        <f>0</f>
        <v>0</v>
      </c>
      <c r="AB83" s="71">
        <f>0</f>
        <v>0</v>
      </c>
      <c r="AC83" s="71">
        <f>0</f>
        <v>0</v>
      </c>
      <c r="AD83" s="71">
        <f>0</f>
        <v>0</v>
      </c>
      <c r="AE83" s="71">
        <f>0</f>
        <v>0</v>
      </c>
      <c r="AF83" s="71">
        <f>0</f>
        <v>0</v>
      </c>
      <c r="AG83" s="71">
        <f>0</f>
        <v>0</v>
      </c>
      <c r="AH83" s="71">
        <f>0</f>
        <v>0</v>
      </c>
      <c r="AI83" s="71">
        <f>0</f>
        <v>0</v>
      </c>
      <c r="AJ83" s="71">
        <f>0</f>
        <v>0</v>
      </c>
      <c r="AK83" s="71">
        <f>0</f>
        <v>0</v>
      </c>
      <c r="AL83" s="71">
        <f>0</f>
        <v>0</v>
      </c>
      <c r="AM83" s="71">
        <f>0</f>
        <v>0</v>
      </c>
      <c r="AN83" s="71">
        <f>0</f>
        <v>0</v>
      </c>
      <c r="AO83" s="71">
        <f>0</f>
        <v>0</v>
      </c>
      <c r="AP83" s="71">
        <f>0</f>
        <v>0</v>
      </c>
      <c r="AQ83" s="71">
        <f>0</f>
        <v>0</v>
      </c>
      <c r="AR83" s="71">
        <f>0</f>
        <v>0</v>
      </c>
      <c r="AS83" s="71">
        <f>0</f>
        <v>0</v>
      </c>
      <c r="AT83" s="71">
        <f>0</f>
        <v>0</v>
      </c>
      <c r="AU83" s="71">
        <f>0</f>
        <v>0</v>
      </c>
      <c r="AV83" s="71">
        <f>0</f>
        <v>0</v>
      </c>
      <c r="AW83" s="71">
        <f>0</f>
        <v>0</v>
      </c>
      <c r="AX83" s="71">
        <f>0</f>
        <v>0</v>
      </c>
      <c r="AY83" s="71">
        <f>0</f>
        <v>0</v>
      </c>
      <c r="AZ83" s="71">
        <f>0</f>
        <v>0</v>
      </c>
      <c r="BA83" s="72">
        <f>0</f>
        <v>0</v>
      </c>
    </row>
    <row r="84" spans="1:53" ht="24" outlineLevel="1">
      <c r="A84" s="244"/>
      <c r="B84" s="244"/>
      <c r="C84" s="65" t="s">
        <v>68</v>
      </c>
      <c r="D84" s="85"/>
      <c r="E84" s="447" t="s">
        <v>97</v>
      </c>
      <c r="F84" s="103">
        <f>237676.52</f>
        <v>237676.52</v>
      </c>
      <c r="G84" s="103">
        <f>108334.58</f>
        <v>108334.58</v>
      </c>
      <c r="H84" s="103">
        <f>487486.11</f>
        <v>487486.11</v>
      </c>
      <c r="I84" s="103">
        <f>689422.95</f>
        <v>689422.95</v>
      </c>
      <c r="J84" s="103">
        <f>1063912.55</f>
        <v>1063912.55</v>
      </c>
      <c r="K84" s="68">
        <f>1006299.17</f>
        <v>1006299.17</v>
      </c>
      <c r="L84" s="68">
        <f>1795521</f>
        <v>1795521</v>
      </c>
      <c r="M84" s="69">
        <f>564903.88</f>
        <v>564903.88</v>
      </c>
      <c r="N84" s="70">
        <f>2312536</f>
        <v>2312536</v>
      </c>
      <c r="O84" s="71">
        <f>418220</f>
        <v>418220</v>
      </c>
      <c r="P84" s="71">
        <f>0</f>
        <v>0</v>
      </c>
      <c r="Q84" s="71">
        <f>0</f>
        <v>0</v>
      </c>
      <c r="R84" s="71">
        <f>0</f>
        <v>0</v>
      </c>
      <c r="S84" s="71">
        <f>0</f>
        <v>0</v>
      </c>
      <c r="T84" s="71">
        <f>0</f>
        <v>0</v>
      </c>
      <c r="U84" s="71">
        <f>0</f>
        <v>0</v>
      </c>
      <c r="V84" s="71">
        <f>0</f>
        <v>0</v>
      </c>
      <c r="W84" s="71">
        <f>0</f>
        <v>0</v>
      </c>
      <c r="X84" s="71">
        <f>0</f>
        <v>0</v>
      </c>
      <c r="Y84" s="71">
        <f>0</f>
        <v>0</v>
      </c>
      <c r="Z84" s="71">
        <f>0</f>
        <v>0</v>
      </c>
      <c r="AA84" s="71">
        <f>0</f>
        <v>0</v>
      </c>
      <c r="AB84" s="71">
        <f>0</f>
        <v>0</v>
      </c>
      <c r="AC84" s="71">
        <f>0</f>
        <v>0</v>
      </c>
      <c r="AD84" s="71">
        <f>0</f>
        <v>0</v>
      </c>
      <c r="AE84" s="71">
        <f>0</f>
        <v>0</v>
      </c>
      <c r="AF84" s="71">
        <f>0</f>
        <v>0</v>
      </c>
      <c r="AG84" s="71">
        <f>0</f>
        <v>0</v>
      </c>
      <c r="AH84" s="71">
        <f>0</f>
        <v>0</v>
      </c>
      <c r="AI84" s="71">
        <f>0</f>
        <v>0</v>
      </c>
      <c r="AJ84" s="71">
        <f>0</f>
        <v>0</v>
      </c>
      <c r="AK84" s="71">
        <f>0</f>
        <v>0</v>
      </c>
      <c r="AL84" s="71">
        <f>0</f>
        <v>0</v>
      </c>
      <c r="AM84" s="71">
        <f>0</f>
        <v>0</v>
      </c>
      <c r="AN84" s="71">
        <f>0</f>
        <v>0</v>
      </c>
      <c r="AO84" s="71">
        <f>0</f>
        <v>0</v>
      </c>
      <c r="AP84" s="71">
        <f>0</f>
        <v>0</v>
      </c>
      <c r="AQ84" s="71">
        <f>0</f>
        <v>0</v>
      </c>
      <c r="AR84" s="71">
        <f>0</f>
        <v>0</v>
      </c>
      <c r="AS84" s="71">
        <f>0</f>
        <v>0</v>
      </c>
      <c r="AT84" s="71">
        <f>0</f>
        <v>0</v>
      </c>
      <c r="AU84" s="71">
        <f>0</f>
        <v>0</v>
      </c>
      <c r="AV84" s="71">
        <f>0</f>
        <v>0</v>
      </c>
      <c r="AW84" s="71">
        <f>0</f>
        <v>0</v>
      </c>
      <c r="AX84" s="71">
        <f>0</f>
        <v>0</v>
      </c>
      <c r="AY84" s="71">
        <f>0</f>
        <v>0</v>
      </c>
      <c r="AZ84" s="71">
        <f>0</f>
        <v>0</v>
      </c>
      <c r="BA84" s="72">
        <f>0</f>
        <v>0</v>
      </c>
    </row>
    <row r="85" spans="1:53" ht="24" outlineLevel="2">
      <c r="A85" s="244" t="s">
        <v>27</v>
      </c>
      <c r="B85" s="244" t="s">
        <v>27</v>
      </c>
      <c r="C85" s="65" t="s">
        <v>287</v>
      </c>
      <c r="D85" s="85"/>
      <c r="E85" s="109" t="s">
        <v>340</v>
      </c>
      <c r="F85" s="103">
        <f>237676.52</f>
        <v>237676.52</v>
      </c>
      <c r="G85" s="103">
        <f>108334.58</f>
        <v>108334.58</v>
      </c>
      <c r="H85" s="103">
        <f>487486.11</f>
        <v>487486.11</v>
      </c>
      <c r="I85" s="103">
        <f>689422.95</f>
        <v>689422.95</v>
      </c>
      <c r="J85" s="103">
        <f>1063912.55</f>
        <v>1063912.55</v>
      </c>
      <c r="K85" s="68">
        <f>1006299.17</f>
        <v>1006299.17</v>
      </c>
      <c r="L85" s="68">
        <f>1795521</f>
        <v>1795521</v>
      </c>
      <c r="M85" s="69">
        <f>564903.88</f>
        <v>564903.88</v>
      </c>
      <c r="N85" s="70">
        <f>2312536</f>
        <v>2312536</v>
      </c>
      <c r="O85" s="71">
        <f>418220</f>
        <v>418220</v>
      </c>
      <c r="P85" s="71">
        <f>0</f>
        <v>0</v>
      </c>
      <c r="Q85" s="71">
        <f>0</f>
        <v>0</v>
      </c>
      <c r="R85" s="71">
        <f>0</f>
        <v>0</v>
      </c>
      <c r="S85" s="71">
        <f>0</f>
        <v>0</v>
      </c>
      <c r="T85" s="71">
        <f>0</f>
        <v>0</v>
      </c>
      <c r="U85" s="71">
        <f>0</f>
        <v>0</v>
      </c>
      <c r="V85" s="71">
        <f>0</f>
        <v>0</v>
      </c>
      <c r="W85" s="71">
        <f>0</f>
        <v>0</v>
      </c>
      <c r="X85" s="71">
        <f>0</f>
        <v>0</v>
      </c>
      <c r="Y85" s="71">
        <f>0</f>
        <v>0</v>
      </c>
      <c r="Z85" s="71">
        <f>0</f>
        <v>0</v>
      </c>
      <c r="AA85" s="71">
        <f>0</f>
        <v>0</v>
      </c>
      <c r="AB85" s="71">
        <f>0</f>
        <v>0</v>
      </c>
      <c r="AC85" s="71">
        <f>0</f>
        <v>0</v>
      </c>
      <c r="AD85" s="71">
        <f>0</f>
        <v>0</v>
      </c>
      <c r="AE85" s="71">
        <f>0</f>
        <v>0</v>
      </c>
      <c r="AF85" s="71">
        <f>0</f>
        <v>0</v>
      </c>
      <c r="AG85" s="71">
        <f>0</f>
        <v>0</v>
      </c>
      <c r="AH85" s="71">
        <f>0</f>
        <v>0</v>
      </c>
      <c r="AI85" s="71">
        <f>0</f>
        <v>0</v>
      </c>
      <c r="AJ85" s="71">
        <f>0</f>
        <v>0</v>
      </c>
      <c r="AK85" s="71">
        <f>0</f>
        <v>0</v>
      </c>
      <c r="AL85" s="71">
        <f>0</f>
        <v>0</v>
      </c>
      <c r="AM85" s="71">
        <f>0</f>
        <v>0</v>
      </c>
      <c r="AN85" s="71">
        <f>0</f>
        <v>0</v>
      </c>
      <c r="AO85" s="71">
        <f>0</f>
        <v>0</v>
      </c>
      <c r="AP85" s="71">
        <f>0</f>
        <v>0</v>
      </c>
      <c r="AQ85" s="71">
        <f>0</f>
        <v>0</v>
      </c>
      <c r="AR85" s="71">
        <f>0</f>
        <v>0</v>
      </c>
      <c r="AS85" s="71">
        <f>0</f>
        <v>0</v>
      </c>
      <c r="AT85" s="71">
        <f>0</f>
        <v>0</v>
      </c>
      <c r="AU85" s="71">
        <f>0</f>
        <v>0</v>
      </c>
      <c r="AV85" s="71">
        <f>0</f>
        <v>0</v>
      </c>
      <c r="AW85" s="71">
        <f>0</f>
        <v>0</v>
      </c>
      <c r="AX85" s="71">
        <f>0</f>
        <v>0</v>
      </c>
      <c r="AY85" s="71">
        <f>0</f>
        <v>0</v>
      </c>
      <c r="AZ85" s="71">
        <f>0</f>
        <v>0</v>
      </c>
      <c r="BA85" s="72">
        <f>0</f>
        <v>0</v>
      </c>
    </row>
    <row r="86" spans="1:53" outlineLevel="3">
      <c r="A86" s="244"/>
      <c r="B86" s="244"/>
      <c r="C86" s="65" t="s">
        <v>288</v>
      </c>
      <c r="D86" s="85"/>
      <c r="E86" s="458" t="s">
        <v>341</v>
      </c>
      <c r="F86" s="103">
        <f>208161.56</f>
        <v>208161.56</v>
      </c>
      <c r="G86" s="103">
        <f>108334.58</f>
        <v>108334.58</v>
      </c>
      <c r="H86" s="103">
        <f>480432.14</f>
        <v>480432.14</v>
      </c>
      <c r="I86" s="103">
        <f>657933.45</f>
        <v>657933.44999999995</v>
      </c>
      <c r="J86" s="103">
        <f>1029959.57</f>
        <v>1029959.57</v>
      </c>
      <c r="K86" s="68">
        <f>949446.24</f>
        <v>949446.24</v>
      </c>
      <c r="L86" s="68">
        <f>1789907</f>
        <v>1789907</v>
      </c>
      <c r="M86" s="69">
        <f>560891.5</f>
        <v>560891.5</v>
      </c>
      <c r="N86" s="70">
        <f>2312536</f>
        <v>2312536</v>
      </c>
      <c r="O86" s="71">
        <f>418220</f>
        <v>418220</v>
      </c>
      <c r="P86" s="71">
        <f>0</f>
        <v>0</v>
      </c>
      <c r="Q86" s="71">
        <f>0</f>
        <v>0</v>
      </c>
      <c r="R86" s="71">
        <f>0</f>
        <v>0</v>
      </c>
      <c r="S86" s="71">
        <f>0</f>
        <v>0</v>
      </c>
      <c r="T86" s="71">
        <f>0</f>
        <v>0</v>
      </c>
      <c r="U86" s="71">
        <f>0</f>
        <v>0</v>
      </c>
      <c r="V86" s="71">
        <f>0</f>
        <v>0</v>
      </c>
      <c r="W86" s="71">
        <f>0</f>
        <v>0</v>
      </c>
      <c r="X86" s="71">
        <f>0</f>
        <v>0</v>
      </c>
      <c r="Y86" s="71">
        <f>0</f>
        <v>0</v>
      </c>
      <c r="Z86" s="71">
        <f>0</f>
        <v>0</v>
      </c>
      <c r="AA86" s="71">
        <f>0</f>
        <v>0</v>
      </c>
      <c r="AB86" s="71">
        <f>0</f>
        <v>0</v>
      </c>
      <c r="AC86" s="71">
        <f>0</f>
        <v>0</v>
      </c>
      <c r="AD86" s="71">
        <f>0</f>
        <v>0</v>
      </c>
      <c r="AE86" s="71">
        <f>0</f>
        <v>0</v>
      </c>
      <c r="AF86" s="71">
        <f>0</f>
        <v>0</v>
      </c>
      <c r="AG86" s="71">
        <f>0</f>
        <v>0</v>
      </c>
      <c r="AH86" s="71">
        <f>0</f>
        <v>0</v>
      </c>
      <c r="AI86" s="71">
        <f>0</f>
        <v>0</v>
      </c>
      <c r="AJ86" s="71">
        <f>0</f>
        <v>0</v>
      </c>
      <c r="AK86" s="71">
        <f>0</f>
        <v>0</v>
      </c>
      <c r="AL86" s="71">
        <f>0</f>
        <v>0</v>
      </c>
      <c r="AM86" s="71">
        <f>0</f>
        <v>0</v>
      </c>
      <c r="AN86" s="71">
        <f>0</f>
        <v>0</v>
      </c>
      <c r="AO86" s="71">
        <f>0</f>
        <v>0</v>
      </c>
      <c r="AP86" s="71">
        <f>0</f>
        <v>0</v>
      </c>
      <c r="AQ86" s="71">
        <f>0</f>
        <v>0</v>
      </c>
      <c r="AR86" s="71">
        <f>0</f>
        <v>0</v>
      </c>
      <c r="AS86" s="71">
        <f>0</f>
        <v>0</v>
      </c>
      <c r="AT86" s="71">
        <f>0</f>
        <v>0</v>
      </c>
      <c r="AU86" s="71">
        <f>0</f>
        <v>0</v>
      </c>
      <c r="AV86" s="71">
        <f>0</f>
        <v>0</v>
      </c>
      <c r="AW86" s="71">
        <f>0</f>
        <v>0</v>
      </c>
      <c r="AX86" s="71">
        <f>0</f>
        <v>0</v>
      </c>
      <c r="AY86" s="71">
        <f>0</f>
        <v>0</v>
      </c>
      <c r="AZ86" s="71">
        <f>0</f>
        <v>0</v>
      </c>
      <c r="BA86" s="72">
        <f>0</f>
        <v>0</v>
      </c>
    </row>
    <row r="87" spans="1:53" ht="24" outlineLevel="1">
      <c r="A87" s="244"/>
      <c r="B87" s="244"/>
      <c r="C87" s="65" t="s">
        <v>69</v>
      </c>
      <c r="D87" s="85"/>
      <c r="E87" s="447" t="s">
        <v>98</v>
      </c>
      <c r="F87" s="103">
        <f>0</f>
        <v>0</v>
      </c>
      <c r="G87" s="103">
        <f>0</f>
        <v>0</v>
      </c>
      <c r="H87" s="103">
        <f>467439.15</f>
        <v>467439.15</v>
      </c>
      <c r="I87" s="103">
        <f>6354529.56</f>
        <v>6354529.5599999996</v>
      </c>
      <c r="J87" s="103">
        <f>7207655.03</f>
        <v>7207655.0300000003</v>
      </c>
      <c r="K87" s="68">
        <f>2270257.97</f>
        <v>2270257.9700000002</v>
      </c>
      <c r="L87" s="68">
        <f>0</f>
        <v>0</v>
      </c>
      <c r="M87" s="69">
        <f>0</f>
        <v>0</v>
      </c>
      <c r="N87" s="70">
        <f>0</f>
        <v>0</v>
      </c>
      <c r="O87" s="71">
        <f>1000000</f>
        <v>1000000</v>
      </c>
      <c r="P87" s="71">
        <f>0</f>
        <v>0</v>
      </c>
      <c r="Q87" s="71">
        <f>0</f>
        <v>0</v>
      </c>
      <c r="R87" s="71">
        <f>0</f>
        <v>0</v>
      </c>
      <c r="S87" s="71">
        <f>0</f>
        <v>0</v>
      </c>
      <c r="T87" s="71">
        <f>0</f>
        <v>0</v>
      </c>
      <c r="U87" s="71">
        <f>0</f>
        <v>0</v>
      </c>
      <c r="V87" s="71">
        <f>0</f>
        <v>0</v>
      </c>
      <c r="W87" s="71">
        <f>0</f>
        <v>0</v>
      </c>
      <c r="X87" s="71">
        <f>0</f>
        <v>0</v>
      </c>
      <c r="Y87" s="71">
        <f>0</f>
        <v>0</v>
      </c>
      <c r="Z87" s="71">
        <f>0</f>
        <v>0</v>
      </c>
      <c r="AA87" s="71">
        <f>0</f>
        <v>0</v>
      </c>
      <c r="AB87" s="71">
        <f>0</f>
        <v>0</v>
      </c>
      <c r="AC87" s="71">
        <f>0</f>
        <v>0</v>
      </c>
      <c r="AD87" s="71">
        <f>0</f>
        <v>0</v>
      </c>
      <c r="AE87" s="71">
        <f>0</f>
        <v>0</v>
      </c>
      <c r="AF87" s="71">
        <f>0</f>
        <v>0</v>
      </c>
      <c r="AG87" s="71">
        <f>0</f>
        <v>0</v>
      </c>
      <c r="AH87" s="71">
        <f>0</f>
        <v>0</v>
      </c>
      <c r="AI87" s="71">
        <f>0</f>
        <v>0</v>
      </c>
      <c r="AJ87" s="71">
        <f>0</f>
        <v>0</v>
      </c>
      <c r="AK87" s="71">
        <f>0</f>
        <v>0</v>
      </c>
      <c r="AL87" s="71">
        <f>0</f>
        <v>0</v>
      </c>
      <c r="AM87" s="71">
        <f>0</f>
        <v>0</v>
      </c>
      <c r="AN87" s="71">
        <f>0</f>
        <v>0</v>
      </c>
      <c r="AO87" s="71">
        <f>0</f>
        <v>0</v>
      </c>
      <c r="AP87" s="71">
        <f>0</f>
        <v>0</v>
      </c>
      <c r="AQ87" s="71">
        <f>0</f>
        <v>0</v>
      </c>
      <c r="AR87" s="71">
        <f>0</f>
        <v>0</v>
      </c>
      <c r="AS87" s="71">
        <f>0</f>
        <v>0</v>
      </c>
      <c r="AT87" s="71">
        <f>0</f>
        <v>0</v>
      </c>
      <c r="AU87" s="71">
        <f>0</f>
        <v>0</v>
      </c>
      <c r="AV87" s="71">
        <f>0</f>
        <v>0</v>
      </c>
      <c r="AW87" s="71">
        <f>0</f>
        <v>0</v>
      </c>
      <c r="AX87" s="71">
        <f>0</f>
        <v>0</v>
      </c>
      <c r="AY87" s="71">
        <f>0</f>
        <v>0</v>
      </c>
      <c r="AZ87" s="71">
        <f>0</f>
        <v>0</v>
      </c>
      <c r="BA87" s="72">
        <f>0</f>
        <v>0</v>
      </c>
    </row>
    <row r="88" spans="1:53" ht="24" outlineLevel="2">
      <c r="A88" s="244"/>
      <c r="B88" s="244"/>
      <c r="C88" s="65" t="s">
        <v>289</v>
      </c>
      <c r="D88" s="85"/>
      <c r="E88" s="109" t="s">
        <v>342</v>
      </c>
      <c r="F88" s="103">
        <f>0</f>
        <v>0</v>
      </c>
      <c r="G88" s="103">
        <f>0</f>
        <v>0</v>
      </c>
      <c r="H88" s="103">
        <f>467439.15</f>
        <v>467439.15</v>
      </c>
      <c r="I88" s="103">
        <f>6354529.56</f>
        <v>6354529.5599999996</v>
      </c>
      <c r="J88" s="103">
        <f>7207655.03</f>
        <v>7207655.0300000003</v>
      </c>
      <c r="K88" s="68">
        <f>2270257.97</f>
        <v>2270257.9700000002</v>
      </c>
      <c r="L88" s="68">
        <f>0</f>
        <v>0</v>
      </c>
      <c r="M88" s="69">
        <f>0</f>
        <v>0</v>
      </c>
      <c r="N88" s="70">
        <f>0</f>
        <v>0</v>
      </c>
      <c r="O88" s="71">
        <f>0</f>
        <v>0</v>
      </c>
      <c r="P88" s="71">
        <f>0</f>
        <v>0</v>
      </c>
      <c r="Q88" s="71">
        <f>0</f>
        <v>0</v>
      </c>
      <c r="R88" s="71">
        <f>0</f>
        <v>0</v>
      </c>
      <c r="S88" s="71">
        <f>0</f>
        <v>0</v>
      </c>
      <c r="T88" s="71">
        <f>0</f>
        <v>0</v>
      </c>
      <c r="U88" s="71">
        <f>0</f>
        <v>0</v>
      </c>
      <c r="V88" s="71">
        <f>0</f>
        <v>0</v>
      </c>
      <c r="W88" s="71">
        <f>0</f>
        <v>0</v>
      </c>
      <c r="X88" s="71">
        <f>0</f>
        <v>0</v>
      </c>
      <c r="Y88" s="71">
        <f>0</f>
        <v>0</v>
      </c>
      <c r="Z88" s="71">
        <f>0</f>
        <v>0</v>
      </c>
      <c r="AA88" s="71">
        <f>0</f>
        <v>0</v>
      </c>
      <c r="AB88" s="71">
        <f>0</f>
        <v>0</v>
      </c>
      <c r="AC88" s="71">
        <f>0</f>
        <v>0</v>
      </c>
      <c r="AD88" s="71">
        <f>0</f>
        <v>0</v>
      </c>
      <c r="AE88" s="71">
        <f>0</f>
        <v>0</v>
      </c>
      <c r="AF88" s="71">
        <f>0</f>
        <v>0</v>
      </c>
      <c r="AG88" s="71">
        <f>0</f>
        <v>0</v>
      </c>
      <c r="AH88" s="71">
        <f>0</f>
        <v>0</v>
      </c>
      <c r="AI88" s="71">
        <f>0</f>
        <v>0</v>
      </c>
      <c r="AJ88" s="71">
        <f>0</f>
        <v>0</v>
      </c>
      <c r="AK88" s="71">
        <f>0</f>
        <v>0</v>
      </c>
      <c r="AL88" s="71">
        <f>0</f>
        <v>0</v>
      </c>
      <c r="AM88" s="71">
        <f>0</f>
        <v>0</v>
      </c>
      <c r="AN88" s="71">
        <f>0</f>
        <v>0</v>
      </c>
      <c r="AO88" s="71">
        <f>0</f>
        <v>0</v>
      </c>
      <c r="AP88" s="71">
        <f>0</f>
        <v>0</v>
      </c>
      <c r="AQ88" s="71">
        <f>0</f>
        <v>0</v>
      </c>
      <c r="AR88" s="71">
        <f>0</f>
        <v>0</v>
      </c>
      <c r="AS88" s="71">
        <f>0</f>
        <v>0</v>
      </c>
      <c r="AT88" s="71">
        <f>0</f>
        <v>0</v>
      </c>
      <c r="AU88" s="71">
        <f>0</f>
        <v>0</v>
      </c>
      <c r="AV88" s="71">
        <f>0</f>
        <v>0</v>
      </c>
      <c r="AW88" s="71">
        <f>0</f>
        <v>0</v>
      </c>
      <c r="AX88" s="71">
        <f>0</f>
        <v>0</v>
      </c>
      <c r="AY88" s="71">
        <f>0</f>
        <v>0</v>
      </c>
      <c r="AZ88" s="71">
        <f>0</f>
        <v>0</v>
      </c>
      <c r="BA88" s="72">
        <f>0</f>
        <v>0</v>
      </c>
    </row>
    <row r="89" spans="1:53" outlineLevel="3">
      <c r="A89" s="244"/>
      <c r="B89" s="244"/>
      <c r="C89" s="65" t="s">
        <v>290</v>
      </c>
      <c r="D89" s="85"/>
      <c r="E89" s="458" t="s">
        <v>341</v>
      </c>
      <c r="F89" s="103">
        <f>0</f>
        <v>0</v>
      </c>
      <c r="G89" s="103">
        <f>0</f>
        <v>0</v>
      </c>
      <c r="H89" s="103">
        <f>317955.64</f>
        <v>317955.64</v>
      </c>
      <c r="I89" s="103">
        <f>4708649.46</f>
        <v>4708649.46</v>
      </c>
      <c r="J89" s="103">
        <f>5257568.31</f>
        <v>5257568.3099999996</v>
      </c>
      <c r="K89" s="68">
        <f>1709325.75</f>
        <v>1709325.75</v>
      </c>
      <c r="L89" s="68">
        <f>0</f>
        <v>0</v>
      </c>
      <c r="M89" s="69">
        <f>0</f>
        <v>0</v>
      </c>
      <c r="N89" s="70">
        <f>0</f>
        <v>0</v>
      </c>
      <c r="O89" s="71">
        <f>0</f>
        <v>0</v>
      </c>
      <c r="P89" s="71">
        <f>0</f>
        <v>0</v>
      </c>
      <c r="Q89" s="71">
        <f>0</f>
        <v>0</v>
      </c>
      <c r="R89" s="71">
        <f>0</f>
        <v>0</v>
      </c>
      <c r="S89" s="71">
        <f>0</f>
        <v>0</v>
      </c>
      <c r="T89" s="71">
        <f>0</f>
        <v>0</v>
      </c>
      <c r="U89" s="71">
        <f>0</f>
        <v>0</v>
      </c>
      <c r="V89" s="71">
        <f>0</f>
        <v>0</v>
      </c>
      <c r="W89" s="71">
        <f>0</f>
        <v>0</v>
      </c>
      <c r="X89" s="71">
        <f>0</f>
        <v>0</v>
      </c>
      <c r="Y89" s="71">
        <f>0</f>
        <v>0</v>
      </c>
      <c r="Z89" s="71">
        <f>0</f>
        <v>0</v>
      </c>
      <c r="AA89" s="71">
        <f>0</f>
        <v>0</v>
      </c>
      <c r="AB89" s="71">
        <f>0</f>
        <v>0</v>
      </c>
      <c r="AC89" s="71">
        <f>0</f>
        <v>0</v>
      </c>
      <c r="AD89" s="71">
        <f>0</f>
        <v>0</v>
      </c>
      <c r="AE89" s="71">
        <f>0</f>
        <v>0</v>
      </c>
      <c r="AF89" s="71">
        <f>0</f>
        <v>0</v>
      </c>
      <c r="AG89" s="71">
        <f>0</f>
        <v>0</v>
      </c>
      <c r="AH89" s="71">
        <f>0</f>
        <v>0</v>
      </c>
      <c r="AI89" s="71">
        <f>0</f>
        <v>0</v>
      </c>
      <c r="AJ89" s="71">
        <f>0</f>
        <v>0</v>
      </c>
      <c r="AK89" s="71">
        <f>0</f>
        <v>0</v>
      </c>
      <c r="AL89" s="71">
        <f>0</f>
        <v>0</v>
      </c>
      <c r="AM89" s="71">
        <f>0</f>
        <v>0</v>
      </c>
      <c r="AN89" s="71">
        <f>0</f>
        <v>0</v>
      </c>
      <c r="AO89" s="71">
        <f>0</f>
        <v>0</v>
      </c>
      <c r="AP89" s="71">
        <f>0</f>
        <v>0</v>
      </c>
      <c r="AQ89" s="71">
        <f>0</f>
        <v>0</v>
      </c>
      <c r="AR89" s="71">
        <f>0</f>
        <v>0</v>
      </c>
      <c r="AS89" s="71">
        <f>0</f>
        <v>0</v>
      </c>
      <c r="AT89" s="71">
        <f>0</f>
        <v>0</v>
      </c>
      <c r="AU89" s="71">
        <f>0</f>
        <v>0</v>
      </c>
      <c r="AV89" s="71">
        <f>0</f>
        <v>0</v>
      </c>
      <c r="AW89" s="71">
        <f>0</f>
        <v>0</v>
      </c>
      <c r="AX89" s="71">
        <f>0</f>
        <v>0</v>
      </c>
      <c r="AY89" s="71">
        <f>0</f>
        <v>0</v>
      </c>
      <c r="AZ89" s="71">
        <f>0</f>
        <v>0</v>
      </c>
      <c r="BA89" s="72">
        <f>0</f>
        <v>0</v>
      </c>
    </row>
    <row r="90" spans="1:53">
      <c r="A90" s="244"/>
      <c r="B90" s="244"/>
      <c r="C90" s="22">
        <v>10</v>
      </c>
      <c r="D90" s="85"/>
      <c r="E90" s="111" t="s">
        <v>244</v>
      </c>
      <c r="F90" s="105" t="s">
        <v>27</v>
      </c>
      <c r="G90" s="105" t="s">
        <v>27</v>
      </c>
      <c r="H90" s="105" t="s">
        <v>27</v>
      </c>
      <c r="I90" s="105" t="s">
        <v>27</v>
      </c>
      <c r="J90" s="105" t="s">
        <v>27</v>
      </c>
      <c r="K90" s="75" t="s">
        <v>27</v>
      </c>
      <c r="L90" s="75" t="s">
        <v>27</v>
      </c>
      <c r="M90" s="76" t="s">
        <v>27</v>
      </c>
      <c r="N90" s="77" t="s">
        <v>27</v>
      </c>
      <c r="O90" s="78" t="s">
        <v>27</v>
      </c>
      <c r="P90" s="78" t="s">
        <v>27</v>
      </c>
      <c r="Q90" s="78" t="s">
        <v>27</v>
      </c>
      <c r="R90" s="78" t="s">
        <v>27</v>
      </c>
      <c r="S90" s="78" t="s">
        <v>27</v>
      </c>
      <c r="T90" s="78" t="s">
        <v>27</v>
      </c>
      <c r="U90" s="78" t="s">
        <v>27</v>
      </c>
      <c r="V90" s="78" t="s">
        <v>27</v>
      </c>
      <c r="W90" s="78" t="s">
        <v>27</v>
      </c>
      <c r="X90" s="78" t="s">
        <v>27</v>
      </c>
      <c r="Y90" s="78" t="s">
        <v>27</v>
      </c>
      <c r="Z90" s="78" t="s">
        <v>27</v>
      </c>
      <c r="AA90" s="78" t="s">
        <v>27</v>
      </c>
      <c r="AB90" s="78" t="s">
        <v>27</v>
      </c>
      <c r="AC90" s="78" t="s">
        <v>27</v>
      </c>
      <c r="AD90" s="78" t="s">
        <v>27</v>
      </c>
      <c r="AE90" s="78" t="s">
        <v>27</v>
      </c>
      <c r="AF90" s="78" t="s">
        <v>27</v>
      </c>
      <c r="AG90" s="78" t="s">
        <v>27</v>
      </c>
      <c r="AH90" s="78" t="s">
        <v>27</v>
      </c>
      <c r="AI90" s="78" t="s">
        <v>27</v>
      </c>
      <c r="AJ90" s="78" t="s">
        <v>27</v>
      </c>
      <c r="AK90" s="78" t="s">
        <v>27</v>
      </c>
      <c r="AL90" s="78" t="s">
        <v>27</v>
      </c>
      <c r="AM90" s="78" t="s">
        <v>27</v>
      </c>
      <c r="AN90" s="78" t="s">
        <v>27</v>
      </c>
      <c r="AO90" s="78" t="s">
        <v>27</v>
      </c>
      <c r="AP90" s="78" t="s">
        <v>27</v>
      </c>
      <c r="AQ90" s="78" t="s">
        <v>27</v>
      </c>
      <c r="AR90" s="78" t="s">
        <v>27</v>
      </c>
      <c r="AS90" s="78" t="s">
        <v>27</v>
      </c>
      <c r="AT90" s="78" t="s">
        <v>27</v>
      </c>
      <c r="AU90" s="78" t="s">
        <v>27</v>
      </c>
      <c r="AV90" s="78" t="s">
        <v>27</v>
      </c>
      <c r="AW90" s="78" t="s">
        <v>27</v>
      </c>
      <c r="AX90" s="78" t="s">
        <v>27</v>
      </c>
      <c r="AY90" s="78" t="s">
        <v>27</v>
      </c>
      <c r="AZ90" s="78" t="s">
        <v>27</v>
      </c>
      <c r="BA90" s="79" t="s">
        <v>27</v>
      </c>
    </row>
    <row r="91" spans="1:53" outlineLevel="1">
      <c r="A91" s="244"/>
      <c r="B91" s="244"/>
      <c r="C91" s="65" t="s">
        <v>70</v>
      </c>
      <c r="D91" s="85"/>
      <c r="E91" s="459" t="s">
        <v>245</v>
      </c>
      <c r="F91" s="103">
        <f>0</f>
        <v>0</v>
      </c>
      <c r="G91" s="103">
        <f>0</f>
        <v>0</v>
      </c>
      <c r="H91" s="103">
        <f>0</f>
        <v>0</v>
      </c>
      <c r="I91" s="103">
        <f>0</f>
        <v>0</v>
      </c>
      <c r="J91" s="103">
        <f>0</f>
        <v>0</v>
      </c>
      <c r="K91" s="68">
        <f>0</f>
        <v>0</v>
      </c>
      <c r="L91" s="68">
        <f>6389215</f>
        <v>6389215</v>
      </c>
      <c r="M91" s="69">
        <f>6389215</f>
        <v>6389215</v>
      </c>
      <c r="N91" s="70">
        <f>9533117</f>
        <v>9533117</v>
      </c>
      <c r="O91" s="71">
        <f>23305220</f>
        <v>23305220</v>
      </c>
      <c r="P91" s="71">
        <f>1000000</f>
        <v>1000000</v>
      </c>
      <c r="Q91" s="71">
        <f>1000000</f>
        <v>1000000</v>
      </c>
      <c r="R91" s="71">
        <f>0</f>
        <v>0</v>
      </c>
      <c r="S91" s="71">
        <f>0</f>
        <v>0</v>
      </c>
      <c r="T91" s="71">
        <f>0</f>
        <v>0</v>
      </c>
      <c r="U91" s="71">
        <f>0</f>
        <v>0</v>
      </c>
      <c r="V91" s="71">
        <f>0</f>
        <v>0</v>
      </c>
      <c r="W91" s="71">
        <f>0</f>
        <v>0</v>
      </c>
      <c r="X91" s="71">
        <f>0</f>
        <v>0</v>
      </c>
      <c r="Y91" s="71">
        <f>0</f>
        <v>0</v>
      </c>
      <c r="Z91" s="71">
        <f>0</f>
        <v>0</v>
      </c>
      <c r="AA91" s="71">
        <f>0</f>
        <v>0</v>
      </c>
      <c r="AB91" s="71">
        <f>0</f>
        <v>0</v>
      </c>
      <c r="AC91" s="71">
        <f>0</f>
        <v>0</v>
      </c>
      <c r="AD91" s="71">
        <f>0</f>
        <v>0</v>
      </c>
      <c r="AE91" s="71">
        <f>0</f>
        <v>0</v>
      </c>
      <c r="AF91" s="71">
        <f>0</f>
        <v>0</v>
      </c>
      <c r="AG91" s="71">
        <f>0</f>
        <v>0</v>
      </c>
      <c r="AH91" s="71">
        <f>0</f>
        <v>0</v>
      </c>
      <c r="AI91" s="71">
        <f>0</f>
        <v>0</v>
      </c>
      <c r="AJ91" s="71">
        <f>0</f>
        <v>0</v>
      </c>
      <c r="AK91" s="71">
        <f>0</f>
        <v>0</v>
      </c>
      <c r="AL91" s="71">
        <f>0</f>
        <v>0</v>
      </c>
      <c r="AM91" s="71">
        <f>0</f>
        <v>0</v>
      </c>
      <c r="AN91" s="71">
        <f>0</f>
        <v>0</v>
      </c>
      <c r="AO91" s="71">
        <f>0</f>
        <v>0</v>
      </c>
      <c r="AP91" s="71">
        <f>0</f>
        <v>0</v>
      </c>
      <c r="AQ91" s="71">
        <f>0</f>
        <v>0</v>
      </c>
      <c r="AR91" s="71">
        <f>0</f>
        <v>0</v>
      </c>
      <c r="AS91" s="71">
        <f>0</f>
        <v>0</v>
      </c>
      <c r="AT91" s="71">
        <f>0</f>
        <v>0</v>
      </c>
      <c r="AU91" s="71">
        <f>0</f>
        <v>0</v>
      </c>
      <c r="AV91" s="71">
        <f>0</f>
        <v>0</v>
      </c>
      <c r="AW91" s="71">
        <f>0</f>
        <v>0</v>
      </c>
      <c r="AX91" s="71">
        <f>0</f>
        <v>0</v>
      </c>
      <c r="AY91" s="71">
        <f>0</f>
        <v>0</v>
      </c>
      <c r="AZ91" s="71">
        <f>0</f>
        <v>0</v>
      </c>
      <c r="BA91" s="72">
        <f>0</f>
        <v>0</v>
      </c>
    </row>
    <row r="92" spans="1:53" outlineLevel="2">
      <c r="A92" s="244"/>
      <c r="B92" s="244"/>
      <c r="C92" s="65" t="s">
        <v>291</v>
      </c>
      <c r="D92" s="85" t="s">
        <v>364</v>
      </c>
      <c r="E92" s="109" t="s">
        <v>95</v>
      </c>
      <c r="F92" s="103">
        <f>0</f>
        <v>0</v>
      </c>
      <c r="G92" s="103">
        <f>0</f>
        <v>0</v>
      </c>
      <c r="H92" s="103">
        <f>0</f>
        <v>0</v>
      </c>
      <c r="I92" s="103">
        <f>0</f>
        <v>0</v>
      </c>
      <c r="J92" s="103">
        <f>0</f>
        <v>0</v>
      </c>
      <c r="K92" s="68">
        <f>0</f>
        <v>0</v>
      </c>
      <c r="L92" s="68">
        <f>1278909</f>
        <v>1278909</v>
      </c>
      <c r="M92" s="69">
        <f>1278909</f>
        <v>1278909</v>
      </c>
      <c r="N92" s="70">
        <f>2303117</f>
        <v>2303117</v>
      </c>
      <c r="O92" s="71">
        <f>418220</f>
        <v>418220</v>
      </c>
      <c r="P92" s="71">
        <f>0</f>
        <v>0</v>
      </c>
      <c r="Q92" s="71">
        <f>0</f>
        <v>0</v>
      </c>
      <c r="R92" s="71">
        <f>0</f>
        <v>0</v>
      </c>
      <c r="S92" s="71">
        <f>0</f>
        <v>0</v>
      </c>
      <c r="T92" s="71">
        <f>0</f>
        <v>0</v>
      </c>
      <c r="U92" s="71">
        <f>0</f>
        <v>0</v>
      </c>
      <c r="V92" s="71">
        <f>0</f>
        <v>0</v>
      </c>
      <c r="W92" s="71">
        <f>0</f>
        <v>0</v>
      </c>
      <c r="X92" s="71">
        <f>0</f>
        <v>0</v>
      </c>
      <c r="Y92" s="71">
        <f>0</f>
        <v>0</v>
      </c>
      <c r="Z92" s="71">
        <f>0</f>
        <v>0</v>
      </c>
      <c r="AA92" s="71">
        <f>0</f>
        <v>0</v>
      </c>
      <c r="AB92" s="71">
        <f>0</f>
        <v>0</v>
      </c>
      <c r="AC92" s="71">
        <f>0</f>
        <v>0</v>
      </c>
      <c r="AD92" s="71">
        <f>0</f>
        <v>0</v>
      </c>
      <c r="AE92" s="71">
        <f>0</f>
        <v>0</v>
      </c>
      <c r="AF92" s="71">
        <f>0</f>
        <v>0</v>
      </c>
      <c r="AG92" s="71">
        <f>0</f>
        <v>0</v>
      </c>
      <c r="AH92" s="71">
        <f>0</f>
        <v>0</v>
      </c>
      <c r="AI92" s="71">
        <f>0</f>
        <v>0</v>
      </c>
      <c r="AJ92" s="71">
        <f>0</f>
        <v>0</v>
      </c>
      <c r="AK92" s="71">
        <f>0</f>
        <v>0</v>
      </c>
      <c r="AL92" s="71">
        <f>0</f>
        <v>0</v>
      </c>
      <c r="AM92" s="71">
        <f>0</f>
        <v>0</v>
      </c>
      <c r="AN92" s="71">
        <f>0</f>
        <v>0</v>
      </c>
      <c r="AO92" s="71">
        <f>0</f>
        <v>0</v>
      </c>
      <c r="AP92" s="71">
        <f>0</f>
        <v>0</v>
      </c>
      <c r="AQ92" s="71">
        <f>0</f>
        <v>0</v>
      </c>
      <c r="AR92" s="71">
        <f>0</f>
        <v>0</v>
      </c>
      <c r="AS92" s="71">
        <f>0</f>
        <v>0</v>
      </c>
      <c r="AT92" s="71">
        <f>0</f>
        <v>0</v>
      </c>
      <c r="AU92" s="71">
        <f>0</f>
        <v>0</v>
      </c>
      <c r="AV92" s="71">
        <f>0</f>
        <v>0</v>
      </c>
      <c r="AW92" s="71">
        <f>0</f>
        <v>0</v>
      </c>
      <c r="AX92" s="71">
        <f>0</f>
        <v>0</v>
      </c>
      <c r="AY92" s="71">
        <f>0</f>
        <v>0</v>
      </c>
      <c r="AZ92" s="71">
        <f>0</f>
        <v>0</v>
      </c>
      <c r="BA92" s="72">
        <f>0</f>
        <v>0</v>
      </c>
    </row>
    <row r="93" spans="1:53" s="57" customFormat="1" outlineLevel="2">
      <c r="A93" s="244"/>
      <c r="B93" s="244"/>
      <c r="C93" s="65" t="s">
        <v>292</v>
      </c>
      <c r="D93" s="85" t="s">
        <v>365</v>
      </c>
      <c r="E93" s="109" t="s">
        <v>96</v>
      </c>
      <c r="F93" s="103">
        <f>0</f>
        <v>0</v>
      </c>
      <c r="G93" s="103">
        <f>0</f>
        <v>0</v>
      </c>
      <c r="H93" s="103">
        <f>0</f>
        <v>0</v>
      </c>
      <c r="I93" s="103">
        <f>0</f>
        <v>0</v>
      </c>
      <c r="J93" s="103">
        <f>0</f>
        <v>0</v>
      </c>
      <c r="K93" s="68">
        <f>0</f>
        <v>0</v>
      </c>
      <c r="L93" s="68">
        <f>5110306</f>
        <v>5110306</v>
      </c>
      <c r="M93" s="69">
        <f>5110306</f>
        <v>5110306</v>
      </c>
      <c r="N93" s="70">
        <f>7230000</f>
        <v>7230000</v>
      </c>
      <c r="O93" s="71">
        <f>22887000</f>
        <v>22887000</v>
      </c>
      <c r="P93" s="71">
        <f>1000000</f>
        <v>1000000</v>
      </c>
      <c r="Q93" s="71">
        <f>1000000</f>
        <v>1000000</v>
      </c>
      <c r="R93" s="71">
        <f>0</f>
        <v>0</v>
      </c>
      <c r="S93" s="71">
        <f>0</f>
        <v>0</v>
      </c>
      <c r="T93" s="71">
        <f>0</f>
        <v>0</v>
      </c>
      <c r="U93" s="71">
        <f>0</f>
        <v>0</v>
      </c>
      <c r="V93" s="71">
        <f>0</f>
        <v>0</v>
      </c>
      <c r="W93" s="71">
        <f>0</f>
        <v>0</v>
      </c>
      <c r="X93" s="71">
        <f>0</f>
        <v>0</v>
      </c>
      <c r="Y93" s="71">
        <f>0</f>
        <v>0</v>
      </c>
      <c r="Z93" s="71">
        <f>0</f>
        <v>0</v>
      </c>
      <c r="AA93" s="71">
        <f>0</f>
        <v>0</v>
      </c>
      <c r="AB93" s="71">
        <f>0</f>
        <v>0</v>
      </c>
      <c r="AC93" s="71">
        <f>0</f>
        <v>0</v>
      </c>
      <c r="AD93" s="71">
        <f>0</f>
        <v>0</v>
      </c>
      <c r="AE93" s="71">
        <f>0</f>
        <v>0</v>
      </c>
      <c r="AF93" s="71">
        <f>0</f>
        <v>0</v>
      </c>
      <c r="AG93" s="71">
        <f>0</f>
        <v>0</v>
      </c>
      <c r="AH93" s="71">
        <f>0</f>
        <v>0</v>
      </c>
      <c r="AI93" s="71">
        <f>0</f>
        <v>0</v>
      </c>
      <c r="AJ93" s="71">
        <f>0</f>
        <v>0</v>
      </c>
      <c r="AK93" s="71">
        <f>0</f>
        <v>0</v>
      </c>
      <c r="AL93" s="71">
        <f>0</f>
        <v>0</v>
      </c>
      <c r="AM93" s="71">
        <f>0</f>
        <v>0</v>
      </c>
      <c r="AN93" s="71">
        <f>0</f>
        <v>0</v>
      </c>
      <c r="AO93" s="71">
        <f>0</f>
        <v>0</v>
      </c>
      <c r="AP93" s="71">
        <f>0</f>
        <v>0</v>
      </c>
      <c r="AQ93" s="71">
        <f>0</f>
        <v>0</v>
      </c>
      <c r="AR93" s="71">
        <f>0</f>
        <v>0</v>
      </c>
      <c r="AS93" s="71">
        <f>0</f>
        <v>0</v>
      </c>
      <c r="AT93" s="71">
        <f>0</f>
        <v>0</v>
      </c>
      <c r="AU93" s="71">
        <f>0</f>
        <v>0</v>
      </c>
      <c r="AV93" s="71">
        <f>0</f>
        <v>0</v>
      </c>
      <c r="AW93" s="71">
        <f>0</f>
        <v>0</v>
      </c>
      <c r="AX93" s="71">
        <f>0</f>
        <v>0</v>
      </c>
      <c r="AY93" s="71">
        <f>0</f>
        <v>0</v>
      </c>
      <c r="AZ93" s="71">
        <f>0</f>
        <v>0</v>
      </c>
      <c r="BA93" s="72">
        <f>0</f>
        <v>0</v>
      </c>
    </row>
    <row r="94" spans="1:53" s="57" customFormat="1" ht="24" outlineLevel="1">
      <c r="A94" s="244"/>
      <c r="B94" s="244"/>
      <c r="C94" s="65" t="s">
        <v>305</v>
      </c>
      <c r="D94" s="85"/>
      <c r="E94" s="447" t="s">
        <v>99</v>
      </c>
      <c r="F94" s="103">
        <f>0</f>
        <v>0</v>
      </c>
      <c r="G94" s="103">
        <f>0</f>
        <v>0</v>
      </c>
      <c r="H94" s="103">
        <f>0</f>
        <v>0</v>
      </c>
      <c r="I94" s="103">
        <f>0</f>
        <v>0</v>
      </c>
      <c r="J94" s="103">
        <f>0</f>
        <v>0</v>
      </c>
      <c r="K94" s="68">
        <f>0</f>
        <v>0</v>
      </c>
      <c r="L94" s="68">
        <f>0</f>
        <v>0</v>
      </c>
      <c r="M94" s="69">
        <f>0</f>
        <v>0</v>
      </c>
      <c r="N94" s="70">
        <f>0</f>
        <v>0</v>
      </c>
      <c r="O94" s="71">
        <f>0</f>
        <v>0</v>
      </c>
      <c r="P94" s="71">
        <f>0</f>
        <v>0</v>
      </c>
      <c r="Q94" s="71">
        <f>0</f>
        <v>0</v>
      </c>
      <c r="R94" s="71">
        <f>0</f>
        <v>0</v>
      </c>
      <c r="S94" s="71">
        <f>0</f>
        <v>0</v>
      </c>
      <c r="T94" s="71">
        <f>0</f>
        <v>0</v>
      </c>
      <c r="U94" s="71">
        <f>0</f>
        <v>0</v>
      </c>
      <c r="V94" s="71">
        <f>0</f>
        <v>0</v>
      </c>
      <c r="W94" s="71">
        <f>0</f>
        <v>0</v>
      </c>
      <c r="X94" s="71">
        <f>0</f>
        <v>0</v>
      </c>
      <c r="Y94" s="71">
        <f>0</f>
        <v>0</v>
      </c>
      <c r="Z94" s="71">
        <f>0</f>
        <v>0</v>
      </c>
      <c r="AA94" s="71">
        <f>0</f>
        <v>0</v>
      </c>
      <c r="AB94" s="71">
        <f>0</f>
        <v>0</v>
      </c>
      <c r="AC94" s="71">
        <f>0</f>
        <v>0</v>
      </c>
      <c r="AD94" s="71">
        <f>0</f>
        <v>0</v>
      </c>
      <c r="AE94" s="71">
        <f>0</f>
        <v>0</v>
      </c>
      <c r="AF94" s="71">
        <f>0</f>
        <v>0</v>
      </c>
      <c r="AG94" s="71">
        <f>0</f>
        <v>0</v>
      </c>
      <c r="AH94" s="71">
        <f>0</f>
        <v>0</v>
      </c>
      <c r="AI94" s="71">
        <f>0</f>
        <v>0</v>
      </c>
      <c r="AJ94" s="71">
        <f>0</f>
        <v>0</v>
      </c>
      <c r="AK94" s="71">
        <f>0</f>
        <v>0</v>
      </c>
      <c r="AL94" s="71">
        <f>0</f>
        <v>0</v>
      </c>
      <c r="AM94" s="71">
        <f>0</f>
        <v>0</v>
      </c>
      <c r="AN94" s="71">
        <f>0</f>
        <v>0</v>
      </c>
      <c r="AO94" s="71">
        <f>0</f>
        <v>0</v>
      </c>
      <c r="AP94" s="71">
        <f>0</f>
        <v>0</v>
      </c>
      <c r="AQ94" s="71">
        <f>0</f>
        <v>0</v>
      </c>
      <c r="AR94" s="71">
        <f>0</f>
        <v>0</v>
      </c>
      <c r="AS94" s="71">
        <f>0</f>
        <v>0</v>
      </c>
      <c r="AT94" s="71">
        <f>0</f>
        <v>0</v>
      </c>
      <c r="AU94" s="71">
        <f>0</f>
        <v>0</v>
      </c>
      <c r="AV94" s="71">
        <f>0</f>
        <v>0</v>
      </c>
      <c r="AW94" s="71">
        <f>0</f>
        <v>0</v>
      </c>
      <c r="AX94" s="71">
        <f>0</f>
        <v>0</v>
      </c>
      <c r="AY94" s="71">
        <f>0</f>
        <v>0</v>
      </c>
      <c r="AZ94" s="71">
        <f>0</f>
        <v>0</v>
      </c>
      <c r="BA94" s="72">
        <f>0</f>
        <v>0</v>
      </c>
    </row>
    <row r="95" spans="1:53" s="57" customFormat="1" ht="24" outlineLevel="1">
      <c r="A95" s="244"/>
      <c r="B95" s="244"/>
      <c r="C95" s="65" t="s">
        <v>306</v>
      </c>
      <c r="D95" s="85"/>
      <c r="E95" s="447" t="s">
        <v>343</v>
      </c>
      <c r="F95" s="103">
        <f>0</f>
        <v>0</v>
      </c>
      <c r="G95" s="103">
        <f>0</f>
        <v>0</v>
      </c>
      <c r="H95" s="103">
        <f>0</f>
        <v>0</v>
      </c>
      <c r="I95" s="103">
        <f>0</f>
        <v>0</v>
      </c>
      <c r="J95" s="103">
        <f>0</f>
        <v>0</v>
      </c>
      <c r="K95" s="68">
        <f>0</f>
        <v>0</v>
      </c>
      <c r="L95" s="68">
        <f>0</f>
        <v>0</v>
      </c>
      <c r="M95" s="69">
        <f>0</f>
        <v>0</v>
      </c>
      <c r="N95" s="70">
        <f>0</f>
        <v>0</v>
      </c>
      <c r="O95" s="71">
        <f>0</f>
        <v>0</v>
      </c>
      <c r="P95" s="71">
        <f>0</f>
        <v>0</v>
      </c>
      <c r="Q95" s="71">
        <f>0</f>
        <v>0</v>
      </c>
      <c r="R95" s="71">
        <f>0</f>
        <v>0</v>
      </c>
      <c r="S95" s="71">
        <f>0</f>
        <v>0</v>
      </c>
      <c r="T95" s="71">
        <f>0</f>
        <v>0</v>
      </c>
      <c r="U95" s="71">
        <f>0</f>
        <v>0</v>
      </c>
      <c r="V95" s="71">
        <f>0</f>
        <v>0</v>
      </c>
      <c r="W95" s="71">
        <f>0</f>
        <v>0</v>
      </c>
      <c r="X95" s="71">
        <f>0</f>
        <v>0</v>
      </c>
      <c r="Y95" s="71">
        <f>0</f>
        <v>0</v>
      </c>
      <c r="Z95" s="71">
        <f>0</f>
        <v>0</v>
      </c>
      <c r="AA95" s="71">
        <f>0</f>
        <v>0</v>
      </c>
      <c r="AB95" s="71">
        <f>0</f>
        <v>0</v>
      </c>
      <c r="AC95" s="71">
        <f>0</f>
        <v>0</v>
      </c>
      <c r="AD95" s="71">
        <f>0</f>
        <v>0</v>
      </c>
      <c r="AE95" s="71">
        <f>0</f>
        <v>0</v>
      </c>
      <c r="AF95" s="71">
        <f>0</f>
        <v>0</v>
      </c>
      <c r="AG95" s="71">
        <f>0</f>
        <v>0</v>
      </c>
      <c r="AH95" s="71">
        <f>0</f>
        <v>0</v>
      </c>
      <c r="AI95" s="71">
        <f>0</f>
        <v>0</v>
      </c>
      <c r="AJ95" s="71">
        <f>0</f>
        <v>0</v>
      </c>
      <c r="AK95" s="71">
        <f>0</f>
        <v>0</v>
      </c>
      <c r="AL95" s="71">
        <f>0</f>
        <v>0</v>
      </c>
      <c r="AM95" s="71">
        <f>0</f>
        <v>0</v>
      </c>
      <c r="AN95" s="71">
        <f>0</f>
        <v>0</v>
      </c>
      <c r="AO95" s="71">
        <f>0</f>
        <v>0</v>
      </c>
      <c r="AP95" s="71">
        <f>0</f>
        <v>0</v>
      </c>
      <c r="AQ95" s="71">
        <f>0</f>
        <v>0</v>
      </c>
      <c r="AR95" s="71">
        <f>0</f>
        <v>0</v>
      </c>
      <c r="AS95" s="71">
        <f>0</f>
        <v>0</v>
      </c>
      <c r="AT95" s="71">
        <f>0</f>
        <v>0</v>
      </c>
      <c r="AU95" s="71">
        <f>0</f>
        <v>0</v>
      </c>
      <c r="AV95" s="71">
        <f>0</f>
        <v>0</v>
      </c>
      <c r="AW95" s="71">
        <f>0</f>
        <v>0</v>
      </c>
      <c r="AX95" s="71">
        <f>0</f>
        <v>0</v>
      </c>
      <c r="AY95" s="71">
        <f>0</f>
        <v>0</v>
      </c>
      <c r="AZ95" s="71">
        <f>0</f>
        <v>0</v>
      </c>
      <c r="BA95" s="72">
        <f>0</f>
        <v>0</v>
      </c>
    </row>
    <row r="96" spans="1:53" s="57" customFormat="1" ht="24" outlineLevel="1">
      <c r="A96" s="244" t="s">
        <v>27</v>
      </c>
      <c r="B96" s="244"/>
      <c r="C96" s="65" t="s">
        <v>307</v>
      </c>
      <c r="D96" s="85"/>
      <c r="E96" s="447" t="s">
        <v>173</v>
      </c>
      <c r="F96" s="103">
        <f>0</f>
        <v>0</v>
      </c>
      <c r="G96" s="103">
        <f>0</f>
        <v>0</v>
      </c>
      <c r="H96" s="103">
        <f>0</f>
        <v>0</v>
      </c>
      <c r="I96" s="103">
        <f>0</f>
        <v>0</v>
      </c>
      <c r="J96" s="103">
        <f>0</f>
        <v>0</v>
      </c>
      <c r="K96" s="68">
        <f>0</f>
        <v>0</v>
      </c>
      <c r="L96" s="68">
        <f>0</f>
        <v>0</v>
      </c>
      <c r="M96" s="69">
        <f>0</f>
        <v>0</v>
      </c>
      <c r="N96" s="70">
        <f>0</f>
        <v>0</v>
      </c>
      <c r="O96" s="71">
        <f>0</f>
        <v>0</v>
      </c>
      <c r="P96" s="71">
        <f>0</f>
        <v>0</v>
      </c>
      <c r="Q96" s="71">
        <f>0</f>
        <v>0</v>
      </c>
      <c r="R96" s="71">
        <f>0</f>
        <v>0</v>
      </c>
      <c r="S96" s="71">
        <f>0</f>
        <v>0</v>
      </c>
      <c r="T96" s="71">
        <f>0</f>
        <v>0</v>
      </c>
      <c r="U96" s="71">
        <f>0</f>
        <v>0</v>
      </c>
      <c r="V96" s="71">
        <f>0</f>
        <v>0</v>
      </c>
      <c r="W96" s="71">
        <f>0</f>
        <v>0</v>
      </c>
      <c r="X96" s="71">
        <f>0</f>
        <v>0</v>
      </c>
      <c r="Y96" s="71">
        <f>0</f>
        <v>0</v>
      </c>
      <c r="Z96" s="71">
        <f>0</f>
        <v>0</v>
      </c>
      <c r="AA96" s="71">
        <f>0</f>
        <v>0</v>
      </c>
      <c r="AB96" s="71">
        <f>0</f>
        <v>0</v>
      </c>
      <c r="AC96" s="71">
        <f>0</f>
        <v>0</v>
      </c>
      <c r="AD96" s="71">
        <f>0</f>
        <v>0</v>
      </c>
      <c r="AE96" s="71">
        <f>0</f>
        <v>0</v>
      </c>
      <c r="AF96" s="71">
        <f>0</f>
        <v>0</v>
      </c>
      <c r="AG96" s="71">
        <f>0</f>
        <v>0</v>
      </c>
      <c r="AH96" s="71">
        <f>0</f>
        <v>0</v>
      </c>
      <c r="AI96" s="71">
        <f>0</f>
        <v>0</v>
      </c>
      <c r="AJ96" s="71">
        <f>0</f>
        <v>0</v>
      </c>
      <c r="AK96" s="71">
        <f>0</f>
        <v>0</v>
      </c>
      <c r="AL96" s="71">
        <f>0</f>
        <v>0</v>
      </c>
      <c r="AM96" s="71">
        <f>0</f>
        <v>0</v>
      </c>
      <c r="AN96" s="71">
        <f>0</f>
        <v>0</v>
      </c>
      <c r="AO96" s="71">
        <f>0</f>
        <v>0</v>
      </c>
      <c r="AP96" s="71">
        <f>0</f>
        <v>0</v>
      </c>
      <c r="AQ96" s="71">
        <f>0</f>
        <v>0</v>
      </c>
      <c r="AR96" s="71">
        <f>0</f>
        <v>0</v>
      </c>
      <c r="AS96" s="71">
        <f>0</f>
        <v>0</v>
      </c>
      <c r="AT96" s="71">
        <f>0</f>
        <v>0</v>
      </c>
      <c r="AU96" s="71">
        <f>0</f>
        <v>0</v>
      </c>
      <c r="AV96" s="71">
        <f>0</f>
        <v>0</v>
      </c>
      <c r="AW96" s="71">
        <f>0</f>
        <v>0</v>
      </c>
      <c r="AX96" s="71">
        <f>0</f>
        <v>0</v>
      </c>
      <c r="AY96" s="71">
        <f>0</f>
        <v>0</v>
      </c>
      <c r="AZ96" s="71">
        <f>0</f>
        <v>0</v>
      </c>
      <c r="BA96" s="72">
        <f>0</f>
        <v>0</v>
      </c>
    </row>
    <row r="97" spans="1:54" s="57" customFormat="1" ht="24" outlineLevel="1">
      <c r="A97" s="244"/>
      <c r="B97" s="244"/>
      <c r="C97" s="65" t="s">
        <v>308</v>
      </c>
      <c r="D97" s="85"/>
      <c r="E97" s="447" t="s">
        <v>344</v>
      </c>
      <c r="F97" s="103">
        <f>0</f>
        <v>0</v>
      </c>
      <c r="G97" s="103">
        <f>0</f>
        <v>0</v>
      </c>
      <c r="H97" s="103">
        <f>0</f>
        <v>0</v>
      </c>
      <c r="I97" s="103">
        <f>0</f>
        <v>0</v>
      </c>
      <c r="J97" s="103">
        <f>0</f>
        <v>0</v>
      </c>
      <c r="K97" s="68">
        <f>0</f>
        <v>0</v>
      </c>
      <c r="L97" s="68">
        <f>0</f>
        <v>0</v>
      </c>
      <c r="M97" s="69">
        <f>0</f>
        <v>0</v>
      </c>
      <c r="N97" s="70">
        <f>0</f>
        <v>0</v>
      </c>
      <c r="O97" s="71">
        <f>0</f>
        <v>0</v>
      </c>
      <c r="P97" s="71">
        <f>0</f>
        <v>0</v>
      </c>
      <c r="Q97" s="71">
        <f>0</f>
        <v>0</v>
      </c>
      <c r="R97" s="71">
        <f>0</f>
        <v>0</v>
      </c>
      <c r="S97" s="71">
        <f>0</f>
        <v>0</v>
      </c>
      <c r="T97" s="71">
        <f>0</f>
        <v>0</v>
      </c>
      <c r="U97" s="71">
        <f>0</f>
        <v>0</v>
      </c>
      <c r="V97" s="71">
        <f>0</f>
        <v>0</v>
      </c>
      <c r="W97" s="71">
        <f>0</f>
        <v>0</v>
      </c>
      <c r="X97" s="71">
        <f>0</f>
        <v>0</v>
      </c>
      <c r="Y97" s="71">
        <f>0</f>
        <v>0</v>
      </c>
      <c r="Z97" s="71">
        <f>0</f>
        <v>0</v>
      </c>
      <c r="AA97" s="71">
        <f>0</f>
        <v>0</v>
      </c>
      <c r="AB97" s="71">
        <f>0</f>
        <v>0</v>
      </c>
      <c r="AC97" s="71">
        <f>0</f>
        <v>0</v>
      </c>
      <c r="AD97" s="71">
        <f>0</f>
        <v>0</v>
      </c>
      <c r="AE97" s="71">
        <f>0</f>
        <v>0</v>
      </c>
      <c r="AF97" s="71">
        <f>0</f>
        <v>0</v>
      </c>
      <c r="AG97" s="71">
        <f>0</f>
        <v>0</v>
      </c>
      <c r="AH97" s="71">
        <f>0</f>
        <v>0</v>
      </c>
      <c r="AI97" s="71">
        <f>0</f>
        <v>0</v>
      </c>
      <c r="AJ97" s="71">
        <f>0</f>
        <v>0</v>
      </c>
      <c r="AK97" s="71">
        <f>0</f>
        <v>0</v>
      </c>
      <c r="AL97" s="71">
        <f>0</f>
        <v>0</v>
      </c>
      <c r="AM97" s="71">
        <f>0</f>
        <v>0</v>
      </c>
      <c r="AN97" s="71">
        <f>0</f>
        <v>0</v>
      </c>
      <c r="AO97" s="71">
        <f>0</f>
        <v>0</v>
      </c>
      <c r="AP97" s="71">
        <f>0</f>
        <v>0</v>
      </c>
      <c r="AQ97" s="71">
        <f>0</f>
        <v>0</v>
      </c>
      <c r="AR97" s="71">
        <f>0</f>
        <v>0</v>
      </c>
      <c r="AS97" s="71">
        <f>0</f>
        <v>0</v>
      </c>
      <c r="AT97" s="71">
        <f>0</f>
        <v>0</v>
      </c>
      <c r="AU97" s="71">
        <f>0</f>
        <v>0</v>
      </c>
      <c r="AV97" s="71">
        <f>0</f>
        <v>0</v>
      </c>
      <c r="AW97" s="71">
        <f>0</f>
        <v>0</v>
      </c>
      <c r="AX97" s="71">
        <f>0</f>
        <v>0</v>
      </c>
      <c r="AY97" s="71">
        <f>0</f>
        <v>0</v>
      </c>
      <c r="AZ97" s="71">
        <f>0</f>
        <v>0</v>
      </c>
      <c r="BA97" s="72">
        <f>0</f>
        <v>0</v>
      </c>
    </row>
    <row r="98" spans="1:54" s="57" customFormat="1" outlineLevel="1">
      <c r="A98" s="244"/>
      <c r="B98" s="244"/>
      <c r="C98" s="65" t="s">
        <v>309</v>
      </c>
      <c r="D98" s="85"/>
      <c r="E98" s="447" t="s">
        <v>345</v>
      </c>
      <c r="F98" s="103">
        <f>0</f>
        <v>0</v>
      </c>
      <c r="G98" s="103">
        <f>0</f>
        <v>0</v>
      </c>
      <c r="H98" s="103">
        <f>0</f>
        <v>0</v>
      </c>
      <c r="I98" s="103">
        <f>0</f>
        <v>0</v>
      </c>
      <c r="J98" s="103">
        <f>0</f>
        <v>0</v>
      </c>
      <c r="K98" s="68">
        <f>0</f>
        <v>0</v>
      </c>
      <c r="L98" s="68">
        <f>2000000</f>
        <v>2000000</v>
      </c>
      <c r="M98" s="69">
        <f>2000000</f>
        <v>2000000</v>
      </c>
      <c r="N98" s="70">
        <f>0</f>
        <v>0</v>
      </c>
      <c r="O98" s="71">
        <f>2000000</f>
        <v>2000000</v>
      </c>
      <c r="P98" s="71">
        <f>1915000</f>
        <v>1915000</v>
      </c>
      <c r="Q98" s="71">
        <f>2000000</f>
        <v>2000000</v>
      </c>
      <c r="R98" s="71">
        <f>2000000</f>
        <v>2000000</v>
      </c>
      <c r="S98" s="71">
        <f>2000000</f>
        <v>2000000</v>
      </c>
      <c r="T98" s="71">
        <f>1500000</f>
        <v>1500000</v>
      </c>
      <c r="U98" s="71">
        <f>500000</f>
        <v>500000</v>
      </c>
      <c r="V98" s="71">
        <f>0</f>
        <v>0</v>
      </c>
      <c r="W98" s="71">
        <f>0</f>
        <v>0</v>
      </c>
      <c r="X98" s="71">
        <f>0</f>
        <v>0</v>
      </c>
      <c r="Y98" s="71">
        <f>0</f>
        <v>0</v>
      </c>
      <c r="Z98" s="71">
        <f>0</f>
        <v>0</v>
      </c>
      <c r="AA98" s="71">
        <f>0</f>
        <v>0</v>
      </c>
      <c r="AB98" s="71">
        <f>0</f>
        <v>0</v>
      </c>
      <c r="AC98" s="71">
        <f>0</f>
        <v>0</v>
      </c>
      <c r="AD98" s="71">
        <f>0</f>
        <v>0</v>
      </c>
      <c r="AE98" s="71">
        <f>0</f>
        <v>0</v>
      </c>
      <c r="AF98" s="71">
        <f>0</f>
        <v>0</v>
      </c>
      <c r="AG98" s="71">
        <f>0</f>
        <v>0</v>
      </c>
      <c r="AH98" s="71">
        <f>0</f>
        <v>0</v>
      </c>
      <c r="AI98" s="71">
        <f>0</f>
        <v>0</v>
      </c>
      <c r="AJ98" s="71">
        <f>0</f>
        <v>0</v>
      </c>
      <c r="AK98" s="71">
        <f>0</f>
        <v>0</v>
      </c>
      <c r="AL98" s="71">
        <f>0</f>
        <v>0</v>
      </c>
      <c r="AM98" s="71">
        <f>0</f>
        <v>0</v>
      </c>
      <c r="AN98" s="71">
        <f>0</f>
        <v>0</v>
      </c>
      <c r="AO98" s="71">
        <f>0</f>
        <v>0</v>
      </c>
      <c r="AP98" s="71">
        <f>0</f>
        <v>0</v>
      </c>
      <c r="AQ98" s="71">
        <f>0</f>
        <v>0</v>
      </c>
      <c r="AR98" s="71">
        <f>0</f>
        <v>0</v>
      </c>
      <c r="AS98" s="71">
        <f>0</f>
        <v>0</v>
      </c>
      <c r="AT98" s="71">
        <f>0</f>
        <v>0</v>
      </c>
      <c r="AU98" s="71">
        <f>0</f>
        <v>0</v>
      </c>
      <c r="AV98" s="71">
        <f>0</f>
        <v>0</v>
      </c>
      <c r="AW98" s="71">
        <f>0</f>
        <v>0</v>
      </c>
      <c r="AX98" s="71">
        <f>0</f>
        <v>0</v>
      </c>
      <c r="AY98" s="71">
        <f>0</f>
        <v>0</v>
      </c>
      <c r="AZ98" s="71">
        <f>0</f>
        <v>0</v>
      </c>
      <c r="BA98" s="72">
        <f>0</f>
        <v>0</v>
      </c>
    </row>
    <row r="99" spans="1:54" s="57" customFormat="1" outlineLevel="1">
      <c r="A99" s="244" t="s">
        <v>27</v>
      </c>
      <c r="B99" s="244"/>
      <c r="C99" s="65" t="s">
        <v>310</v>
      </c>
      <c r="D99" s="85"/>
      <c r="E99" s="447" t="s">
        <v>100</v>
      </c>
      <c r="F99" s="103">
        <f>0</f>
        <v>0</v>
      </c>
      <c r="G99" s="103">
        <f>0</f>
        <v>0</v>
      </c>
      <c r="H99" s="103">
        <f>0</f>
        <v>0</v>
      </c>
      <c r="I99" s="103">
        <f>0</f>
        <v>0</v>
      </c>
      <c r="J99" s="103">
        <f>0</f>
        <v>0</v>
      </c>
      <c r="K99" s="68">
        <f>0</f>
        <v>0</v>
      </c>
      <c r="L99" s="68">
        <f>0</f>
        <v>0</v>
      </c>
      <c r="M99" s="69">
        <f>0</f>
        <v>0</v>
      </c>
      <c r="N99" s="70">
        <f>0</f>
        <v>0</v>
      </c>
      <c r="O99" s="71">
        <f>0</f>
        <v>0</v>
      </c>
      <c r="P99" s="71">
        <f>0</f>
        <v>0</v>
      </c>
      <c r="Q99" s="71">
        <f>0</f>
        <v>0</v>
      </c>
      <c r="R99" s="71">
        <f>0</f>
        <v>0</v>
      </c>
      <c r="S99" s="71">
        <f>0</f>
        <v>0</v>
      </c>
      <c r="T99" s="71">
        <f>0</f>
        <v>0</v>
      </c>
      <c r="U99" s="71">
        <f>0</f>
        <v>0</v>
      </c>
      <c r="V99" s="71">
        <f>0</f>
        <v>0</v>
      </c>
      <c r="W99" s="71">
        <f>0</f>
        <v>0</v>
      </c>
      <c r="X99" s="71">
        <f>0</f>
        <v>0</v>
      </c>
      <c r="Y99" s="71">
        <f>0</f>
        <v>0</v>
      </c>
      <c r="Z99" s="71">
        <f>0</f>
        <v>0</v>
      </c>
      <c r="AA99" s="71">
        <f>0</f>
        <v>0</v>
      </c>
      <c r="AB99" s="71">
        <f>0</f>
        <v>0</v>
      </c>
      <c r="AC99" s="71">
        <f>0</f>
        <v>0</v>
      </c>
      <c r="AD99" s="71">
        <f>0</f>
        <v>0</v>
      </c>
      <c r="AE99" s="71">
        <f>0</f>
        <v>0</v>
      </c>
      <c r="AF99" s="71">
        <f>0</f>
        <v>0</v>
      </c>
      <c r="AG99" s="71">
        <f>0</f>
        <v>0</v>
      </c>
      <c r="AH99" s="71">
        <f>0</f>
        <v>0</v>
      </c>
      <c r="AI99" s="71">
        <f>0</f>
        <v>0</v>
      </c>
      <c r="AJ99" s="71">
        <f>0</f>
        <v>0</v>
      </c>
      <c r="AK99" s="71">
        <f>0</f>
        <v>0</v>
      </c>
      <c r="AL99" s="71">
        <f>0</f>
        <v>0</v>
      </c>
      <c r="AM99" s="71">
        <f>0</f>
        <v>0</v>
      </c>
      <c r="AN99" s="71">
        <f>0</f>
        <v>0</v>
      </c>
      <c r="AO99" s="71">
        <f>0</f>
        <v>0</v>
      </c>
      <c r="AP99" s="71">
        <f>0</f>
        <v>0</v>
      </c>
      <c r="AQ99" s="71">
        <f>0</f>
        <v>0</v>
      </c>
      <c r="AR99" s="71">
        <f>0</f>
        <v>0</v>
      </c>
      <c r="AS99" s="71">
        <f>0</f>
        <v>0</v>
      </c>
      <c r="AT99" s="71">
        <f>0</f>
        <v>0</v>
      </c>
      <c r="AU99" s="71">
        <f>0</f>
        <v>0</v>
      </c>
      <c r="AV99" s="71">
        <f>0</f>
        <v>0</v>
      </c>
      <c r="AW99" s="71">
        <f>0</f>
        <v>0</v>
      </c>
      <c r="AX99" s="71">
        <f>0</f>
        <v>0</v>
      </c>
      <c r="AY99" s="71">
        <f>0</f>
        <v>0</v>
      </c>
      <c r="AZ99" s="71">
        <f>0</f>
        <v>0</v>
      </c>
      <c r="BA99" s="72">
        <f>0</f>
        <v>0</v>
      </c>
    </row>
    <row r="100" spans="1:54" s="57" customFormat="1" outlineLevel="2">
      <c r="A100" s="244" t="s">
        <v>27</v>
      </c>
      <c r="B100" s="244"/>
      <c r="C100" s="65" t="s">
        <v>293</v>
      </c>
      <c r="D100" s="85"/>
      <c r="E100" s="109" t="s">
        <v>346</v>
      </c>
      <c r="F100" s="103">
        <f>0</f>
        <v>0</v>
      </c>
      <c r="G100" s="103">
        <f>0</f>
        <v>0</v>
      </c>
      <c r="H100" s="103">
        <f>0</f>
        <v>0</v>
      </c>
      <c r="I100" s="103">
        <f>0</f>
        <v>0</v>
      </c>
      <c r="J100" s="103">
        <f>0</f>
        <v>0</v>
      </c>
      <c r="K100" s="68">
        <f>0</f>
        <v>0</v>
      </c>
      <c r="L100" s="68">
        <f>0</f>
        <v>0</v>
      </c>
      <c r="M100" s="69">
        <f>0</f>
        <v>0</v>
      </c>
      <c r="N100" s="70">
        <f>0</f>
        <v>0</v>
      </c>
      <c r="O100" s="71">
        <f>0</f>
        <v>0</v>
      </c>
      <c r="P100" s="71">
        <f>0</f>
        <v>0</v>
      </c>
      <c r="Q100" s="71">
        <f>0</f>
        <v>0</v>
      </c>
      <c r="R100" s="71">
        <f>0</f>
        <v>0</v>
      </c>
      <c r="S100" s="71">
        <f>0</f>
        <v>0</v>
      </c>
      <c r="T100" s="71">
        <f>0</f>
        <v>0</v>
      </c>
      <c r="U100" s="71">
        <f>0</f>
        <v>0</v>
      </c>
      <c r="V100" s="71">
        <f>0</f>
        <v>0</v>
      </c>
      <c r="W100" s="71">
        <f>0</f>
        <v>0</v>
      </c>
      <c r="X100" s="71">
        <f>0</f>
        <v>0</v>
      </c>
      <c r="Y100" s="71">
        <f>0</f>
        <v>0</v>
      </c>
      <c r="Z100" s="71">
        <f>0</f>
        <v>0</v>
      </c>
      <c r="AA100" s="71">
        <f>0</f>
        <v>0</v>
      </c>
      <c r="AB100" s="71">
        <f>0</f>
        <v>0</v>
      </c>
      <c r="AC100" s="71">
        <f>0</f>
        <v>0</v>
      </c>
      <c r="AD100" s="71">
        <f>0</f>
        <v>0</v>
      </c>
      <c r="AE100" s="71">
        <f>0</f>
        <v>0</v>
      </c>
      <c r="AF100" s="71">
        <f>0</f>
        <v>0</v>
      </c>
      <c r="AG100" s="71">
        <f>0</f>
        <v>0</v>
      </c>
      <c r="AH100" s="71">
        <f>0</f>
        <v>0</v>
      </c>
      <c r="AI100" s="71">
        <f>0</f>
        <v>0</v>
      </c>
      <c r="AJ100" s="71">
        <f>0</f>
        <v>0</v>
      </c>
      <c r="AK100" s="71">
        <f>0</f>
        <v>0</v>
      </c>
      <c r="AL100" s="71">
        <f>0</f>
        <v>0</v>
      </c>
      <c r="AM100" s="71">
        <f>0</f>
        <v>0</v>
      </c>
      <c r="AN100" s="71">
        <f>0</f>
        <v>0</v>
      </c>
      <c r="AO100" s="71">
        <f>0</f>
        <v>0</v>
      </c>
      <c r="AP100" s="71">
        <f>0</f>
        <v>0</v>
      </c>
      <c r="AQ100" s="71">
        <f>0</f>
        <v>0</v>
      </c>
      <c r="AR100" s="71">
        <f>0</f>
        <v>0</v>
      </c>
      <c r="AS100" s="71">
        <f>0</f>
        <v>0</v>
      </c>
      <c r="AT100" s="71">
        <f>0</f>
        <v>0</v>
      </c>
      <c r="AU100" s="71">
        <f>0</f>
        <v>0</v>
      </c>
      <c r="AV100" s="71">
        <f>0</f>
        <v>0</v>
      </c>
      <c r="AW100" s="71">
        <f>0</f>
        <v>0</v>
      </c>
      <c r="AX100" s="71">
        <f>0</f>
        <v>0</v>
      </c>
      <c r="AY100" s="71">
        <f>0</f>
        <v>0</v>
      </c>
      <c r="AZ100" s="71">
        <f>0</f>
        <v>0</v>
      </c>
      <c r="BA100" s="72">
        <f>0</f>
        <v>0</v>
      </c>
    </row>
    <row r="101" spans="1:54" ht="15" outlineLevel="2">
      <c r="A101" s="244" t="s">
        <v>27</v>
      </c>
      <c r="B101" s="244" t="s">
        <v>27</v>
      </c>
      <c r="C101" s="65" t="s">
        <v>294</v>
      </c>
      <c r="D101" s="85"/>
      <c r="E101" s="109" t="s">
        <v>347</v>
      </c>
      <c r="F101" s="103">
        <f>0</f>
        <v>0</v>
      </c>
      <c r="G101" s="103">
        <f>0</f>
        <v>0</v>
      </c>
      <c r="H101" s="103">
        <f>0</f>
        <v>0</v>
      </c>
      <c r="I101" s="103">
        <f>0</f>
        <v>0</v>
      </c>
      <c r="J101" s="103">
        <f>0</f>
        <v>0</v>
      </c>
      <c r="K101" s="68">
        <f>0</f>
        <v>0</v>
      </c>
      <c r="L101" s="68">
        <f>0</f>
        <v>0</v>
      </c>
      <c r="M101" s="69">
        <f>0</f>
        <v>0</v>
      </c>
      <c r="N101" s="70">
        <f>0</f>
        <v>0</v>
      </c>
      <c r="O101" s="71">
        <f>0</f>
        <v>0</v>
      </c>
      <c r="P101" s="71">
        <f>0</f>
        <v>0</v>
      </c>
      <c r="Q101" s="71">
        <f>0</f>
        <v>0</v>
      </c>
      <c r="R101" s="71">
        <f>0</f>
        <v>0</v>
      </c>
      <c r="S101" s="71">
        <f>0</f>
        <v>0</v>
      </c>
      <c r="T101" s="71">
        <f>0</f>
        <v>0</v>
      </c>
      <c r="U101" s="71">
        <f>0</f>
        <v>0</v>
      </c>
      <c r="V101" s="71">
        <f>0</f>
        <v>0</v>
      </c>
      <c r="W101" s="71">
        <f>0</f>
        <v>0</v>
      </c>
      <c r="X101" s="71">
        <f>0</f>
        <v>0</v>
      </c>
      <c r="Y101" s="71">
        <f>0</f>
        <v>0</v>
      </c>
      <c r="Z101" s="71">
        <f>0</f>
        <v>0</v>
      </c>
      <c r="AA101" s="71">
        <f>0</f>
        <v>0</v>
      </c>
      <c r="AB101" s="71">
        <f>0</f>
        <v>0</v>
      </c>
      <c r="AC101" s="71">
        <f>0</f>
        <v>0</v>
      </c>
      <c r="AD101" s="71">
        <f>0</f>
        <v>0</v>
      </c>
      <c r="AE101" s="71">
        <f>0</f>
        <v>0</v>
      </c>
      <c r="AF101" s="71">
        <f>0</f>
        <v>0</v>
      </c>
      <c r="AG101" s="71">
        <f>0</f>
        <v>0</v>
      </c>
      <c r="AH101" s="71">
        <f>0</f>
        <v>0</v>
      </c>
      <c r="AI101" s="71">
        <f>0</f>
        <v>0</v>
      </c>
      <c r="AJ101" s="71">
        <f>0</f>
        <v>0</v>
      </c>
      <c r="AK101" s="71">
        <f>0</f>
        <v>0</v>
      </c>
      <c r="AL101" s="71">
        <f>0</f>
        <v>0</v>
      </c>
      <c r="AM101" s="71">
        <f>0</f>
        <v>0</v>
      </c>
      <c r="AN101" s="71">
        <f>0</f>
        <v>0</v>
      </c>
      <c r="AO101" s="71">
        <f>0</f>
        <v>0</v>
      </c>
      <c r="AP101" s="71">
        <f>0</f>
        <v>0</v>
      </c>
      <c r="AQ101" s="71">
        <f>0</f>
        <v>0</v>
      </c>
      <c r="AR101" s="71">
        <f>0</f>
        <v>0</v>
      </c>
      <c r="AS101" s="71">
        <f>0</f>
        <v>0</v>
      </c>
      <c r="AT101" s="71">
        <f>0</f>
        <v>0</v>
      </c>
      <c r="AU101" s="71">
        <f>0</f>
        <v>0</v>
      </c>
      <c r="AV101" s="71">
        <f>0</f>
        <v>0</v>
      </c>
      <c r="AW101" s="71">
        <f>0</f>
        <v>0</v>
      </c>
      <c r="AX101" s="71">
        <f>0</f>
        <v>0</v>
      </c>
      <c r="AY101" s="71">
        <f>0</f>
        <v>0</v>
      </c>
      <c r="AZ101" s="71">
        <f>0</f>
        <v>0</v>
      </c>
      <c r="BA101" s="72">
        <f>0</f>
        <v>0</v>
      </c>
      <c r="BB101" s="21"/>
    </row>
    <row r="102" spans="1:54" outlineLevel="3">
      <c r="A102" s="244" t="s">
        <v>27</v>
      </c>
      <c r="B102" s="244" t="s">
        <v>27</v>
      </c>
      <c r="C102" s="65" t="s">
        <v>295</v>
      </c>
      <c r="D102" s="85"/>
      <c r="E102" s="458" t="s">
        <v>348</v>
      </c>
      <c r="F102" s="103">
        <f>0</f>
        <v>0</v>
      </c>
      <c r="G102" s="103">
        <f>0</f>
        <v>0</v>
      </c>
      <c r="H102" s="103">
        <f>0</f>
        <v>0</v>
      </c>
      <c r="I102" s="103">
        <f>0</f>
        <v>0</v>
      </c>
      <c r="J102" s="103">
        <f>0</f>
        <v>0</v>
      </c>
      <c r="K102" s="68">
        <f>0</f>
        <v>0</v>
      </c>
      <c r="L102" s="68">
        <f>0</f>
        <v>0</v>
      </c>
      <c r="M102" s="69">
        <f>0</f>
        <v>0</v>
      </c>
      <c r="N102" s="70">
        <f>0</f>
        <v>0</v>
      </c>
      <c r="O102" s="71">
        <f>0</f>
        <v>0</v>
      </c>
      <c r="P102" s="71">
        <f>0</f>
        <v>0</v>
      </c>
      <c r="Q102" s="71">
        <f>0</f>
        <v>0</v>
      </c>
      <c r="R102" s="71">
        <f>0</f>
        <v>0</v>
      </c>
      <c r="S102" s="71">
        <f>0</f>
        <v>0</v>
      </c>
      <c r="T102" s="71">
        <f>0</f>
        <v>0</v>
      </c>
      <c r="U102" s="71">
        <f>0</f>
        <v>0</v>
      </c>
      <c r="V102" s="71">
        <f>0</f>
        <v>0</v>
      </c>
      <c r="W102" s="71">
        <f>0</f>
        <v>0</v>
      </c>
      <c r="X102" s="71">
        <f>0</f>
        <v>0</v>
      </c>
      <c r="Y102" s="71">
        <f>0</f>
        <v>0</v>
      </c>
      <c r="Z102" s="71">
        <f>0</f>
        <v>0</v>
      </c>
      <c r="AA102" s="71">
        <f>0</f>
        <v>0</v>
      </c>
      <c r="AB102" s="71">
        <f>0</f>
        <v>0</v>
      </c>
      <c r="AC102" s="71">
        <f>0</f>
        <v>0</v>
      </c>
      <c r="AD102" s="71">
        <f>0</f>
        <v>0</v>
      </c>
      <c r="AE102" s="71">
        <f>0</f>
        <v>0</v>
      </c>
      <c r="AF102" s="71">
        <f>0</f>
        <v>0</v>
      </c>
      <c r="AG102" s="71">
        <f>0</f>
        <v>0</v>
      </c>
      <c r="AH102" s="71">
        <f>0</f>
        <v>0</v>
      </c>
      <c r="AI102" s="71">
        <f>0</f>
        <v>0</v>
      </c>
      <c r="AJ102" s="71">
        <f>0</f>
        <v>0</v>
      </c>
      <c r="AK102" s="71">
        <f>0</f>
        <v>0</v>
      </c>
      <c r="AL102" s="71">
        <f>0</f>
        <v>0</v>
      </c>
      <c r="AM102" s="71">
        <f>0</f>
        <v>0</v>
      </c>
      <c r="AN102" s="71">
        <f>0</f>
        <v>0</v>
      </c>
      <c r="AO102" s="71">
        <f>0</f>
        <v>0</v>
      </c>
      <c r="AP102" s="71">
        <f>0</f>
        <v>0</v>
      </c>
      <c r="AQ102" s="71">
        <f>0</f>
        <v>0</v>
      </c>
      <c r="AR102" s="71">
        <f>0</f>
        <v>0</v>
      </c>
      <c r="AS102" s="71">
        <f>0</f>
        <v>0</v>
      </c>
      <c r="AT102" s="71">
        <f>0</f>
        <v>0</v>
      </c>
      <c r="AU102" s="71">
        <f>0</f>
        <v>0</v>
      </c>
      <c r="AV102" s="71">
        <f>0</f>
        <v>0</v>
      </c>
      <c r="AW102" s="71">
        <f>0</f>
        <v>0</v>
      </c>
      <c r="AX102" s="71">
        <f>0</f>
        <v>0</v>
      </c>
      <c r="AY102" s="71">
        <f>0</f>
        <v>0</v>
      </c>
      <c r="AZ102" s="71">
        <f>0</f>
        <v>0</v>
      </c>
      <c r="BA102" s="72">
        <f>0</f>
        <v>0</v>
      </c>
    </row>
    <row r="103" spans="1:54" outlineLevel="4">
      <c r="A103" s="244" t="s">
        <v>27</v>
      </c>
      <c r="B103" s="244" t="s">
        <v>27</v>
      </c>
      <c r="C103" s="65" t="s">
        <v>296</v>
      </c>
      <c r="D103" s="85"/>
      <c r="E103" s="110" t="s">
        <v>349</v>
      </c>
      <c r="F103" s="103">
        <f>0</f>
        <v>0</v>
      </c>
      <c r="G103" s="103">
        <f>0</f>
        <v>0</v>
      </c>
      <c r="H103" s="103">
        <f>0</f>
        <v>0</v>
      </c>
      <c r="I103" s="103">
        <f>0</f>
        <v>0</v>
      </c>
      <c r="J103" s="103">
        <f>0</f>
        <v>0</v>
      </c>
      <c r="K103" s="68">
        <f>0</f>
        <v>0</v>
      </c>
      <c r="L103" s="68">
        <f>0</f>
        <v>0</v>
      </c>
      <c r="M103" s="69">
        <f>0</f>
        <v>0</v>
      </c>
      <c r="N103" s="70">
        <f>0</f>
        <v>0</v>
      </c>
      <c r="O103" s="71">
        <f>0</f>
        <v>0</v>
      </c>
      <c r="P103" s="71">
        <f>0</f>
        <v>0</v>
      </c>
      <c r="Q103" s="71">
        <f>0</f>
        <v>0</v>
      </c>
      <c r="R103" s="71">
        <f>0</f>
        <v>0</v>
      </c>
      <c r="S103" s="71">
        <f>0</f>
        <v>0</v>
      </c>
      <c r="T103" s="71">
        <f>0</f>
        <v>0</v>
      </c>
      <c r="U103" s="71">
        <f>0</f>
        <v>0</v>
      </c>
      <c r="V103" s="71">
        <f>0</f>
        <v>0</v>
      </c>
      <c r="W103" s="71">
        <f>0</f>
        <v>0</v>
      </c>
      <c r="X103" s="71">
        <f>0</f>
        <v>0</v>
      </c>
      <c r="Y103" s="71">
        <f>0</f>
        <v>0</v>
      </c>
      <c r="Z103" s="71">
        <f>0</f>
        <v>0</v>
      </c>
      <c r="AA103" s="71">
        <f>0</f>
        <v>0</v>
      </c>
      <c r="AB103" s="71">
        <f>0</f>
        <v>0</v>
      </c>
      <c r="AC103" s="71">
        <f>0</f>
        <v>0</v>
      </c>
      <c r="AD103" s="71">
        <f>0</f>
        <v>0</v>
      </c>
      <c r="AE103" s="71">
        <f>0</f>
        <v>0</v>
      </c>
      <c r="AF103" s="71">
        <f>0</f>
        <v>0</v>
      </c>
      <c r="AG103" s="71">
        <f>0</f>
        <v>0</v>
      </c>
      <c r="AH103" s="71">
        <f>0</f>
        <v>0</v>
      </c>
      <c r="AI103" s="71">
        <f>0</f>
        <v>0</v>
      </c>
      <c r="AJ103" s="71">
        <f>0</f>
        <v>0</v>
      </c>
      <c r="AK103" s="71">
        <f>0</f>
        <v>0</v>
      </c>
      <c r="AL103" s="71">
        <f>0</f>
        <v>0</v>
      </c>
      <c r="AM103" s="71">
        <f>0</f>
        <v>0</v>
      </c>
      <c r="AN103" s="71">
        <f>0</f>
        <v>0</v>
      </c>
      <c r="AO103" s="71">
        <f>0</f>
        <v>0</v>
      </c>
      <c r="AP103" s="71">
        <f>0</f>
        <v>0</v>
      </c>
      <c r="AQ103" s="71">
        <f>0</f>
        <v>0</v>
      </c>
      <c r="AR103" s="71">
        <f>0</f>
        <v>0</v>
      </c>
      <c r="AS103" s="71">
        <f>0</f>
        <v>0</v>
      </c>
      <c r="AT103" s="71">
        <f>0</f>
        <v>0</v>
      </c>
      <c r="AU103" s="71">
        <f>0</f>
        <v>0</v>
      </c>
      <c r="AV103" s="71">
        <f>0</f>
        <v>0</v>
      </c>
      <c r="AW103" s="71">
        <f>0</f>
        <v>0</v>
      </c>
      <c r="AX103" s="71">
        <f>0</f>
        <v>0</v>
      </c>
      <c r="AY103" s="71">
        <f>0</f>
        <v>0</v>
      </c>
      <c r="AZ103" s="71">
        <f>0</f>
        <v>0</v>
      </c>
      <c r="BA103" s="72">
        <f>0</f>
        <v>0</v>
      </c>
    </row>
    <row r="104" spans="1:54" outlineLevel="2">
      <c r="A104" s="244" t="s">
        <v>27</v>
      </c>
      <c r="B104" s="244"/>
      <c r="C104" s="65" t="s">
        <v>297</v>
      </c>
      <c r="D104" s="85"/>
      <c r="E104" s="109" t="s">
        <v>101</v>
      </c>
      <c r="F104" s="103">
        <f>0</f>
        <v>0</v>
      </c>
      <c r="G104" s="103">
        <f>0</f>
        <v>0</v>
      </c>
      <c r="H104" s="103">
        <f>0</f>
        <v>0</v>
      </c>
      <c r="I104" s="103">
        <f>0</f>
        <v>0</v>
      </c>
      <c r="J104" s="103">
        <f>0</f>
        <v>0</v>
      </c>
      <c r="K104" s="68">
        <f>0</f>
        <v>0</v>
      </c>
      <c r="L104" s="68">
        <f>0</f>
        <v>0</v>
      </c>
      <c r="M104" s="69">
        <f>0</f>
        <v>0</v>
      </c>
      <c r="N104" s="70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  <c r="U104" s="71">
        <f>0</f>
        <v>0</v>
      </c>
      <c r="V104" s="71">
        <f>0</f>
        <v>0</v>
      </c>
      <c r="W104" s="71">
        <f>0</f>
        <v>0</v>
      </c>
      <c r="X104" s="71">
        <f>0</f>
        <v>0</v>
      </c>
      <c r="Y104" s="71">
        <f>0</f>
        <v>0</v>
      </c>
      <c r="Z104" s="71">
        <f>0</f>
        <v>0</v>
      </c>
      <c r="AA104" s="71">
        <f>0</f>
        <v>0</v>
      </c>
      <c r="AB104" s="71">
        <f>0</f>
        <v>0</v>
      </c>
      <c r="AC104" s="71">
        <f>0</f>
        <v>0</v>
      </c>
      <c r="AD104" s="71">
        <f>0</f>
        <v>0</v>
      </c>
      <c r="AE104" s="71">
        <f>0</f>
        <v>0</v>
      </c>
      <c r="AF104" s="71">
        <f>0</f>
        <v>0</v>
      </c>
      <c r="AG104" s="71">
        <f>0</f>
        <v>0</v>
      </c>
      <c r="AH104" s="71">
        <f>0</f>
        <v>0</v>
      </c>
      <c r="AI104" s="71">
        <f>0</f>
        <v>0</v>
      </c>
      <c r="AJ104" s="71">
        <f>0</f>
        <v>0</v>
      </c>
      <c r="AK104" s="71">
        <f>0</f>
        <v>0</v>
      </c>
      <c r="AL104" s="71">
        <f>0</f>
        <v>0</v>
      </c>
      <c r="AM104" s="71">
        <f>0</f>
        <v>0</v>
      </c>
      <c r="AN104" s="71">
        <f>0</f>
        <v>0</v>
      </c>
      <c r="AO104" s="71">
        <f>0</f>
        <v>0</v>
      </c>
      <c r="AP104" s="71">
        <f>0</f>
        <v>0</v>
      </c>
      <c r="AQ104" s="71">
        <f>0</f>
        <v>0</v>
      </c>
      <c r="AR104" s="71">
        <f>0</f>
        <v>0</v>
      </c>
      <c r="AS104" s="71">
        <f>0</f>
        <v>0</v>
      </c>
      <c r="AT104" s="71">
        <f>0</f>
        <v>0</v>
      </c>
      <c r="AU104" s="71">
        <f>0</f>
        <v>0</v>
      </c>
      <c r="AV104" s="71">
        <f>0</f>
        <v>0</v>
      </c>
      <c r="AW104" s="71">
        <f>0</f>
        <v>0</v>
      </c>
      <c r="AX104" s="71">
        <f>0</f>
        <v>0</v>
      </c>
      <c r="AY104" s="71">
        <f>0</f>
        <v>0</v>
      </c>
      <c r="AZ104" s="71">
        <f>0</f>
        <v>0</v>
      </c>
      <c r="BA104" s="72">
        <f>0</f>
        <v>0</v>
      </c>
    </row>
    <row r="105" spans="1:54" ht="24" outlineLevel="1">
      <c r="A105" s="244"/>
      <c r="B105" s="244"/>
      <c r="C105" s="65" t="s">
        <v>311</v>
      </c>
      <c r="D105" s="85"/>
      <c r="E105" s="447" t="s">
        <v>350</v>
      </c>
      <c r="F105" s="103">
        <f>0</f>
        <v>0</v>
      </c>
      <c r="G105" s="103">
        <f>0</f>
        <v>0</v>
      </c>
      <c r="H105" s="103">
        <f>0</f>
        <v>0</v>
      </c>
      <c r="I105" s="103">
        <f>0</f>
        <v>0</v>
      </c>
      <c r="J105" s="103">
        <f>0</f>
        <v>0</v>
      </c>
      <c r="K105" s="68">
        <f>0</f>
        <v>0</v>
      </c>
      <c r="L105" s="68">
        <f>0</f>
        <v>0</v>
      </c>
      <c r="M105" s="69">
        <f>0</f>
        <v>0</v>
      </c>
      <c r="N105" s="70">
        <f>0</f>
        <v>0</v>
      </c>
      <c r="O105" s="71">
        <f>0</f>
        <v>0</v>
      </c>
      <c r="P105" s="71">
        <f>0</f>
        <v>0</v>
      </c>
      <c r="Q105" s="71">
        <f>0</f>
        <v>0</v>
      </c>
      <c r="R105" s="71">
        <f>0</f>
        <v>0</v>
      </c>
      <c r="S105" s="71">
        <f>0</f>
        <v>0</v>
      </c>
      <c r="T105" s="71">
        <f>0</f>
        <v>0</v>
      </c>
      <c r="U105" s="71">
        <f>0</f>
        <v>0</v>
      </c>
      <c r="V105" s="71">
        <f>0</f>
        <v>0</v>
      </c>
      <c r="W105" s="71">
        <f>0</f>
        <v>0</v>
      </c>
      <c r="X105" s="71">
        <f>0</f>
        <v>0</v>
      </c>
      <c r="Y105" s="71">
        <f>0</f>
        <v>0</v>
      </c>
      <c r="Z105" s="71">
        <f>0</f>
        <v>0</v>
      </c>
      <c r="AA105" s="71">
        <f>0</f>
        <v>0</v>
      </c>
      <c r="AB105" s="71">
        <f>0</f>
        <v>0</v>
      </c>
      <c r="AC105" s="71">
        <f>0</f>
        <v>0</v>
      </c>
      <c r="AD105" s="71">
        <f>0</f>
        <v>0</v>
      </c>
      <c r="AE105" s="71">
        <f>0</f>
        <v>0</v>
      </c>
      <c r="AF105" s="71">
        <f>0</f>
        <v>0</v>
      </c>
      <c r="AG105" s="71">
        <f>0</f>
        <v>0</v>
      </c>
      <c r="AH105" s="71">
        <f>0</f>
        <v>0</v>
      </c>
      <c r="AI105" s="71">
        <f>0</f>
        <v>0</v>
      </c>
      <c r="AJ105" s="71">
        <f>0</f>
        <v>0</v>
      </c>
      <c r="AK105" s="71">
        <f>0</f>
        <v>0</v>
      </c>
      <c r="AL105" s="71">
        <f>0</f>
        <v>0</v>
      </c>
      <c r="AM105" s="71">
        <f>0</f>
        <v>0</v>
      </c>
      <c r="AN105" s="71">
        <f>0</f>
        <v>0</v>
      </c>
      <c r="AO105" s="71">
        <f>0</f>
        <v>0</v>
      </c>
      <c r="AP105" s="71">
        <f>0</f>
        <v>0</v>
      </c>
      <c r="AQ105" s="71">
        <f>0</f>
        <v>0</v>
      </c>
      <c r="AR105" s="71">
        <f>0</f>
        <v>0</v>
      </c>
      <c r="AS105" s="71">
        <f>0</f>
        <v>0</v>
      </c>
      <c r="AT105" s="71">
        <f>0</f>
        <v>0</v>
      </c>
      <c r="AU105" s="71">
        <f>0</f>
        <v>0</v>
      </c>
      <c r="AV105" s="71">
        <f>0</f>
        <v>0</v>
      </c>
      <c r="AW105" s="71">
        <f>0</f>
        <v>0</v>
      </c>
      <c r="AX105" s="71">
        <f>0</f>
        <v>0</v>
      </c>
      <c r="AY105" s="71">
        <f>0</f>
        <v>0</v>
      </c>
      <c r="AZ105" s="71">
        <f>0</f>
        <v>0</v>
      </c>
      <c r="BA105" s="72">
        <f>0</f>
        <v>0</v>
      </c>
    </row>
    <row r="106" spans="1:54" ht="24" outlineLevel="1">
      <c r="A106" s="244"/>
      <c r="B106" s="244"/>
      <c r="C106" s="65" t="s">
        <v>312</v>
      </c>
      <c r="D106" s="85"/>
      <c r="E106" s="447" t="s">
        <v>351</v>
      </c>
      <c r="F106" s="103">
        <f>0</f>
        <v>0</v>
      </c>
      <c r="G106" s="103">
        <f>0</f>
        <v>0</v>
      </c>
      <c r="H106" s="103">
        <f>0</f>
        <v>0</v>
      </c>
      <c r="I106" s="103">
        <f>0</f>
        <v>0</v>
      </c>
      <c r="J106" s="103">
        <f>0</f>
        <v>0</v>
      </c>
      <c r="K106" s="68">
        <f>0</f>
        <v>0</v>
      </c>
      <c r="L106" s="68">
        <f>0</f>
        <v>0</v>
      </c>
      <c r="M106" s="69">
        <f>0</f>
        <v>0</v>
      </c>
      <c r="N106" s="70">
        <f>0</f>
        <v>0</v>
      </c>
      <c r="O106" s="71">
        <f>0</f>
        <v>0</v>
      </c>
      <c r="P106" s="71">
        <f>0</f>
        <v>0</v>
      </c>
      <c r="Q106" s="71">
        <f>0</f>
        <v>0</v>
      </c>
      <c r="R106" s="71">
        <f>0</f>
        <v>0</v>
      </c>
      <c r="S106" s="71">
        <f>0</f>
        <v>0</v>
      </c>
      <c r="T106" s="71">
        <f>0</f>
        <v>0</v>
      </c>
      <c r="U106" s="71">
        <f>0</f>
        <v>0</v>
      </c>
      <c r="V106" s="71">
        <f>0</f>
        <v>0</v>
      </c>
      <c r="W106" s="71">
        <f>0</f>
        <v>0</v>
      </c>
      <c r="X106" s="71">
        <f>0</f>
        <v>0</v>
      </c>
      <c r="Y106" s="71">
        <f>0</f>
        <v>0</v>
      </c>
      <c r="Z106" s="71">
        <f>0</f>
        <v>0</v>
      </c>
      <c r="AA106" s="71">
        <f>0</f>
        <v>0</v>
      </c>
      <c r="AB106" s="71">
        <f>0</f>
        <v>0</v>
      </c>
      <c r="AC106" s="71">
        <f>0</f>
        <v>0</v>
      </c>
      <c r="AD106" s="71">
        <f>0</f>
        <v>0</v>
      </c>
      <c r="AE106" s="71">
        <f>0</f>
        <v>0</v>
      </c>
      <c r="AF106" s="71">
        <f>0</f>
        <v>0</v>
      </c>
      <c r="AG106" s="71">
        <f>0</f>
        <v>0</v>
      </c>
      <c r="AH106" s="71">
        <f>0</f>
        <v>0</v>
      </c>
      <c r="AI106" s="71">
        <f>0</f>
        <v>0</v>
      </c>
      <c r="AJ106" s="71">
        <f>0</f>
        <v>0</v>
      </c>
      <c r="AK106" s="71">
        <f>0</f>
        <v>0</v>
      </c>
      <c r="AL106" s="71">
        <f>0</f>
        <v>0</v>
      </c>
      <c r="AM106" s="71">
        <f>0</f>
        <v>0</v>
      </c>
      <c r="AN106" s="71">
        <f>0</f>
        <v>0</v>
      </c>
      <c r="AO106" s="71">
        <f>0</f>
        <v>0</v>
      </c>
      <c r="AP106" s="71">
        <f>0</f>
        <v>0</v>
      </c>
      <c r="AQ106" s="71">
        <f>0</f>
        <v>0</v>
      </c>
      <c r="AR106" s="71">
        <f>0</f>
        <v>0</v>
      </c>
      <c r="AS106" s="71">
        <f>0</f>
        <v>0</v>
      </c>
      <c r="AT106" s="71">
        <f>0</f>
        <v>0</v>
      </c>
      <c r="AU106" s="71">
        <f>0</f>
        <v>0</v>
      </c>
      <c r="AV106" s="71">
        <f>0</f>
        <v>0</v>
      </c>
      <c r="AW106" s="71">
        <f>0</f>
        <v>0</v>
      </c>
      <c r="AX106" s="71">
        <f>0</f>
        <v>0</v>
      </c>
      <c r="AY106" s="71">
        <f>0</f>
        <v>0</v>
      </c>
      <c r="AZ106" s="71">
        <f>0</f>
        <v>0</v>
      </c>
      <c r="BA106" s="72">
        <f>0</f>
        <v>0</v>
      </c>
    </row>
    <row r="107" spans="1:54" s="246" customFormat="1" ht="36" outlineLevel="1">
      <c r="A107" s="244" t="s">
        <v>27</v>
      </c>
      <c r="B107" s="244" t="s">
        <v>27</v>
      </c>
      <c r="C107" s="65" t="s">
        <v>588</v>
      </c>
      <c r="D107" s="85"/>
      <c r="E107" s="447" t="s">
        <v>651</v>
      </c>
      <c r="F107" s="103">
        <f>0</f>
        <v>0</v>
      </c>
      <c r="G107" s="103">
        <f>0</f>
        <v>0</v>
      </c>
      <c r="H107" s="103">
        <f>0</f>
        <v>0</v>
      </c>
      <c r="I107" s="103">
        <f>0</f>
        <v>0</v>
      </c>
      <c r="J107" s="103">
        <f>0</f>
        <v>0</v>
      </c>
      <c r="K107" s="68">
        <f>0</f>
        <v>0</v>
      </c>
      <c r="L107" s="68">
        <f>0</f>
        <v>0</v>
      </c>
      <c r="M107" s="69">
        <f>0</f>
        <v>0</v>
      </c>
      <c r="N107" s="70">
        <f>0</f>
        <v>0</v>
      </c>
      <c r="O107" s="71">
        <f>0</f>
        <v>0</v>
      </c>
      <c r="P107" s="71">
        <f>0</f>
        <v>0</v>
      </c>
      <c r="Q107" s="71">
        <f>0</f>
        <v>0</v>
      </c>
      <c r="R107" s="71">
        <f>0</f>
        <v>0</v>
      </c>
      <c r="S107" s="71">
        <f>0</f>
        <v>0</v>
      </c>
      <c r="T107" s="71">
        <f>0</f>
        <v>0</v>
      </c>
      <c r="U107" s="71">
        <f>0</f>
        <v>0</v>
      </c>
      <c r="V107" s="71">
        <f>0</f>
        <v>0</v>
      </c>
      <c r="W107" s="71">
        <f>0</f>
        <v>0</v>
      </c>
      <c r="X107" s="71">
        <f>0</f>
        <v>0</v>
      </c>
      <c r="Y107" s="71">
        <f>0</f>
        <v>0</v>
      </c>
      <c r="Z107" s="71">
        <f>0</f>
        <v>0</v>
      </c>
      <c r="AA107" s="71">
        <f>0</f>
        <v>0</v>
      </c>
      <c r="AB107" s="71">
        <f>0</f>
        <v>0</v>
      </c>
      <c r="AC107" s="71">
        <f>0</f>
        <v>0</v>
      </c>
      <c r="AD107" s="71">
        <f>0</f>
        <v>0</v>
      </c>
      <c r="AE107" s="71">
        <f>0</f>
        <v>0</v>
      </c>
      <c r="AF107" s="71">
        <f>0</f>
        <v>0</v>
      </c>
      <c r="AG107" s="71">
        <f>0</f>
        <v>0</v>
      </c>
      <c r="AH107" s="71">
        <f>0</f>
        <v>0</v>
      </c>
      <c r="AI107" s="71">
        <f>0</f>
        <v>0</v>
      </c>
      <c r="AJ107" s="71">
        <f>0</f>
        <v>0</v>
      </c>
      <c r="AK107" s="71">
        <f>0</f>
        <v>0</v>
      </c>
      <c r="AL107" s="71">
        <f>0</f>
        <v>0</v>
      </c>
      <c r="AM107" s="71">
        <f>0</f>
        <v>0</v>
      </c>
      <c r="AN107" s="71">
        <f>0</f>
        <v>0</v>
      </c>
      <c r="AO107" s="71">
        <f>0</f>
        <v>0</v>
      </c>
      <c r="AP107" s="71">
        <f>0</f>
        <v>0</v>
      </c>
      <c r="AQ107" s="71">
        <f>0</f>
        <v>0</v>
      </c>
      <c r="AR107" s="71">
        <f>0</f>
        <v>0</v>
      </c>
      <c r="AS107" s="71">
        <f>0</f>
        <v>0</v>
      </c>
      <c r="AT107" s="71">
        <f>0</f>
        <v>0</v>
      </c>
      <c r="AU107" s="71">
        <f>0</f>
        <v>0</v>
      </c>
      <c r="AV107" s="71">
        <f>0</f>
        <v>0</v>
      </c>
      <c r="AW107" s="71">
        <f>0</f>
        <v>0</v>
      </c>
      <c r="AX107" s="71">
        <f>0</f>
        <v>0</v>
      </c>
      <c r="AY107" s="71">
        <f>0</f>
        <v>0</v>
      </c>
      <c r="AZ107" s="71">
        <f>0</f>
        <v>0</v>
      </c>
      <c r="BA107" s="72">
        <f>0</f>
        <v>0</v>
      </c>
    </row>
    <row r="108" spans="1:54" s="246" customFormat="1" outlineLevel="1">
      <c r="A108" s="244"/>
      <c r="B108" s="244" t="s">
        <v>27</v>
      </c>
      <c r="C108" s="65" t="s">
        <v>589</v>
      </c>
      <c r="D108" s="85"/>
      <c r="E108" s="447" t="s">
        <v>652</v>
      </c>
      <c r="F108" s="103">
        <f>0</f>
        <v>0</v>
      </c>
      <c r="G108" s="103">
        <f>0</f>
        <v>0</v>
      </c>
      <c r="H108" s="103">
        <f>0</f>
        <v>0</v>
      </c>
      <c r="I108" s="103">
        <f>0</f>
        <v>0</v>
      </c>
      <c r="J108" s="103">
        <f>0</f>
        <v>0</v>
      </c>
      <c r="K108" s="68">
        <f>216952.14</f>
        <v>216952.14</v>
      </c>
      <c r="L108" s="68">
        <f>0</f>
        <v>0</v>
      </c>
      <c r="M108" s="69">
        <f>0</f>
        <v>0</v>
      </c>
      <c r="N108" s="70">
        <f>0</f>
        <v>0</v>
      </c>
      <c r="O108" s="71">
        <f>0</f>
        <v>0</v>
      </c>
      <c r="P108" s="71">
        <f>0</f>
        <v>0</v>
      </c>
      <c r="Q108" s="71">
        <f>0</f>
        <v>0</v>
      </c>
      <c r="R108" s="71">
        <f>0</f>
        <v>0</v>
      </c>
      <c r="S108" s="71">
        <f>0</f>
        <v>0</v>
      </c>
      <c r="T108" s="71">
        <f>0</f>
        <v>0</v>
      </c>
      <c r="U108" s="71">
        <f>0</f>
        <v>0</v>
      </c>
      <c r="V108" s="71">
        <f>0</f>
        <v>0</v>
      </c>
      <c r="W108" s="71">
        <f>0</f>
        <v>0</v>
      </c>
      <c r="X108" s="71">
        <f>0</f>
        <v>0</v>
      </c>
      <c r="Y108" s="71">
        <f>0</f>
        <v>0</v>
      </c>
      <c r="Z108" s="71">
        <f>0</f>
        <v>0</v>
      </c>
      <c r="AA108" s="71">
        <f>0</f>
        <v>0</v>
      </c>
      <c r="AB108" s="71">
        <f>0</f>
        <v>0</v>
      </c>
      <c r="AC108" s="71">
        <f>0</f>
        <v>0</v>
      </c>
      <c r="AD108" s="71">
        <f>0</f>
        <v>0</v>
      </c>
      <c r="AE108" s="71">
        <f>0</f>
        <v>0</v>
      </c>
      <c r="AF108" s="71">
        <f>0</f>
        <v>0</v>
      </c>
      <c r="AG108" s="71">
        <f>0</f>
        <v>0</v>
      </c>
      <c r="AH108" s="71">
        <f>0</f>
        <v>0</v>
      </c>
      <c r="AI108" s="71">
        <f>0</f>
        <v>0</v>
      </c>
      <c r="AJ108" s="71">
        <f>0</f>
        <v>0</v>
      </c>
      <c r="AK108" s="71">
        <f>0</f>
        <v>0</v>
      </c>
      <c r="AL108" s="71">
        <f>0</f>
        <v>0</v>
      </c>
      <c r="AM108" s="71">
        <f>0</f>
        <v>0</v>
      </c>
      <c r="AN108" s="71">
        <f>0</f>
        <v>0</v>
      </c>
      <c r="AO108" s="71">
        <f>0</f>
        <v>0</v>
      </c>
      <c r="AP108" s="71">
        <f>0</f>
        <v>0</v>
      </c>
      <c r="AQ108" s="71">
        <f>0</f>
        <v>0</v>
      </c>
      <c r="AR108" s="71">
        <f>0</f>
        <v>0</v>
      </c>
      <c r="AS108" s="71">
        <f>0</f>
        <v>0</v>
      </c>
      <c r="AT108" s="71">
        <f>0</f>
        <v>0</v>
      </c>
      <c r="AU108" s="71">
        <f>0</f>
        <v>0</v>
      </c>
      <c r="AV108" s="71">
        <f>0</f>
        <v>0</v>
      </c>
      <c r="AW108" s="71">
        <f>0</f>
        <v>0</v>
      </c>
      <c r="AX108" s="71">
        <f>0</f>
        <v>0</v>
      </c>
      <c r="AY108" s="71">
        <f>0</f>
        <v>0</v>
      </c>
      <c r="AZ108" s="71">
        <f>0</f>
        <v>0</v>
      </c>
      <c r="BA108" s="72">
        <f>0</f>
        <v>0</v>
      </c>
    </row>
    <row r="109" spans="1:54">
      <c r="A109" s="244"/>
      <c r="B109" s="244"/>
      <c r="C109" s="22">
        <v>11</v>
      </c>
      <c r="D109" s="85"/>
      <c r="E109" s="111" t="s">
        <v>170</v>
      </c>
      <c r="F109" s="105" t="s">
        <v>27</v>
      </c>
      <c r="G109" s="105" t="s">
        <v>27</v>
      </c>
      <c r="H109" s="105" t="s">
        <v>27</v>
      </c>
      <c r="I109" s="105" t="s">
        <v>27</v>
      </c>
      <c r="J109" s="105" t="s">
        <v>27</v>
      </c>
      <c r="K109" s="75" t="s">
        <v>27</v>
      </c>
      <c r="L109" s="75" t="s">
        <v>27</v>
      </c>
      <c r="M109" s="76" t="s">
        <v>27</v>
      </c>
      <c r="N109" s="77" t="s">
        <v>27</v>
      </c>
      <c r="O109" s="78" t="s">
        <v>27</v>
      </c>
      <c r="P109" s="78" t="s">
        <v>27</v>
      </c>
      <c r="Q109" s="78" t="s">
        <v>27</v>
      </c>
      <c r="R109" s="78" t="s">
        <v>27</v>
      </c>
      <c r="S109" s="78" t="s">
        <v>27</v>
      </c>
      <c r="T109" s="78" t="s">
        <v>27</v>
      </c>
      <c r="U109" s="78" t="s">
        <v>27</v>
      </c>
      <c r="V109" s="78" t="s">
        <v>27</v>
      </c>
      <c r="W109" s="78" t="s">
        <v>27</v>
      </c>
      <c r="X109" s="78" t="s">
        <v>27</v>
      </c>
      <c r="Y109" s="78" t="s">
        <v>27</v>
      </c>
      <c r="Z109" s="78" t="s">
        <v>27</v>
      </c>
      <c r="AA109" s="78" t="s">
        <v>27</v>
      </c>
      <c r="AB109" s="78" t="s">
        <v>27</v>
      </c>
      <c r="AC109" s="78" t="s">
        <v>27</v>
      </c>
      <c r="AD109" s="78" t="s">
        <v>27</v>
      </c>
      <c r="AE109" s="78" t="s">
        <v>27</v>
      </c>
      <c r="AF109" s="78" t="s">
        <v>27</v>
      </c>
      <c r="AG109" s="78" t="s">
        <v>27</v>
      </c>
      <c r="AH109" s="78" t="s">
        <v>27</v>
      </c>
      <c r="AI109" s="78" t="s">
        <v>27</v>
      </c>
      <c r="AJ109" s="78" t="s">
        <v>27</v>
      </c>
      <c r="AK109" s="78" t="s">
        <v>27</v>
      </c>
      <c r="AL109" s="78" t="s">
        <v>27</v>
      </c>
      <c r="AM109" s="78" t="s">
        <v>27</v>
      </c>
      <c r="AN109" s="78" t="s">
        <v>27</v>
      </c>
      <c r="AO109" s="78" t="s">
        <v>27</v>
      </c>
      <c r="AP109" s="78" t="s">
        <v>27</v>
      </c>
      <c r="AQ109" s="78" t="s">
        <v>27</v>
      </c>
      <c r="AR109" s="78" t="s">
        <v>27</v>
      </c>
      <c r="AS109" s="78" t="s">
        <v>27</v>
      </c>
      <c r="AT109" s="78" t="s">
        <v>27</v>
      </c>
      <c r="AU109" s="78" t="s">
        <v>27</v>
      </c>
      <c r="AV109" s="78" t="s">
        <v>27</v>
      </c>
      <c r="AW109" s="78" t="s">
        <v>27</v>
      </c>
      <c r="AX109" s="78" t="s">
        <v>27</v>
      </c>
      <c r="AY109" s="78" t="s">
        <v>27</v>
      </c>
      <c r="AZ109" s="78" t="s">
        <v>27</v>
      </c>
      <c r="BA109" s="79" t="s">
        <v>27</v>
      </c>
    </row>
    <row r="110" spans="1:54" outlineLevel="1">
      <c r="A110" s="244"/>
      <c r="B110" s="244"/>
      <c r="C110" s="65" t="s">
        <v>71</v>
      </c>
      <c r="D110" s="85"/>
      <c r="E110" s="447" t="s">
        <v>352</v>
      </c>
      <c r="F110" s="103">
        <f>0</f>
        <v>0</v>
      </c>
      <c r="G110" s="103">
        <f>0</f>
        <v>0</v>
      </c>
      <c r="H110" s="103">
        <f>0</f>
        <v>0</v>
      </c>
      <c r="I110" s="103">
        <f>0</f>
        <v>0</v>
      </c>
      <c r="J110" s="103">
        <f>0</f>
        <v>0</v>
      </c>
      <c r="K110" s="68">
        <f>0</f>
        <v>0</v>
      </c>
      <c r="L110" s="68">
        <f>0</f>
        <v>0</v>
      </c>
      <c r="M110" s="69">
        <f>0</f>
        <v>0</v>
      </c>
      <c r="N110" s="70">
        <f>0</f>
        <v>0</v>
      </c>
      <c r="O110" s="71">
        <f>0</f>
        <v>0</v>
      </c>
      <c r="P110" s="71">
        <f>0</f>
        <v>0</v>
      </c>
      <c r="Q110" s="71">
        <f>0</f>
        <v>0</v>
      </c>
      <c r="R110" s="71">
        <f>0</f>
        <v>0</v>
      </c>
      <c r="S110" s="71">
        <f>0</f>
        <v>0</v>
      </c>
      <c r="T110" s="71">
        <f>0</f>
        <v>0</v>
      </c>
      <c r="U110" s="71">
        <f>0</f>
        <v>0</v>
      </c>
      <c r="V110" s="71">
        <f>0</f>
        <v>0</v>
      </c>
      <c r="W110" s="71">
        <f>0</f>
        <v>0</v>
      </c>
      <c r="X110" s="71">
        <f>0</f>
        <v>0</v>
      </c>
      <c r="Y110" s="71">
        <f>0</f>
        <v>0</v>
      </c>
      <c r="Z110" s="71">
        <f>0</f>
        <v>0</v>
      </c>
      <c r="AA110" s="71">
        <f>0</f>
        <v>0</v>
      </c>
      <c r="AB110" s="71">
        <f>0</f>
        <v>0</v>
      </c>
      <c r="AC110" s="71">
        <f>0</f>
        <v>0</v>
      </c>
      <c r="AD110" s="71">
        <f>0</f>
        <v>0</v>
      </c>
      <c r="AE110" s="71">
        <f>0</f>
        <v>0</v>
      </c>
      <c r="AF110" s="71">
        <f>0</f>
        <v>0</v>
      </c>
      <c r="AG110" s="71">
        <f>0</f>
        <v>0</v>
      </c>
      <c r="AH110" s="71">
        <f>0</f>
        <v>0</v>
      </c>
      <c r="AI110" s="71">
        <f>0</f>
        <v>0</v>
      </c>
      <c r="AJ110" s="71">
        <f>0</f>
        <v>0</v>
      </c>
      <c r="AK110" s="71">
        <f>0</f>
        <v>0</v>
      </c>
      <c r="AL110" s="71">
        <f>0</f>
        <v>0</v>
      </c>
      <c r="AM110" s="71">
        <f>0</f>
        <v>0</v>
      </c>
      <c r="AN110" s="71">
        <f>0</f>
        <v>0</v>
      </c>
      <c r="AO110" s="71">
        <f>0</f>
        <v>0</v>
      </c>
      <c r="AP110" s="71">
        <f>0</f>
        <v>0</v>
      </c>
      <c r="AQ110" s="71">
        <f>0</f>
        <v>0</v>
      </c>
      <c r="AR110" s="71">
        <f>0</f>
        <v>0</v>
      </c>
      <c r="AS110" s="71">
        <f>0</f>
        <v>0</v>
      </c>
      <c r="AT110" s="71">
        <f>0</f>
        <v>0</v>
      </c>
      <c r="AU110" s="71">
        <f>0</f>
        <v>0</v>
      </c>
      <c r="AV110" s="71">
        <f>0</f>
        <v>0</v>
      </c>
      <c r="AW110" s="71">
        <f>0</f>
        <v>0</v>
      </c>
      <c r="AX110" s="71">
        <f>0</f>
        <v>0</v>
      </c>
      <c r="AY110" s="71">
        <f>0</f>
        <v>0</v>
      </c>
      <c r="AZ110" s="71">
        <f>0</f>
        <v>0</v>
      </c>
      <c r="BA110" s="72">
        <f>0</f>
        <v>0</v>
      </c>
    </row>
    <row r="111" spans="1:54" ht="15" outlineLevel="2">
      <c r="A111" s="244" t="s">
        <v>27</v>
      </c>
      <c r="B111" s="244"/>
      <c r="C111" s="65" t="s">
        <v>298</v>
      </c>
      <c r="D111" s="85"/>
      <c r="E111" s="109" t="s">
        <v>175</v>
      </c>
      <c r="F111" s="103">
        <f>0</f>
        <v>0</v>
      </c>
      <c r="G111" s="103">
        <f>0</f>
        <v>0</v>
      </c>
      <c r="H111" s="103">
        <f>0</f>
        <v>0</v>
      </c>
      <c r="I111" s="103">
        <f>0</f>
        <v>0</v>
      </c>
      <c r="J111" s="103">
        <f>0</f>
        <v>0</v>
      </c>
      <c r="K111" s="68">
        <f>0</f>
        <v>0</v>
      </c>
      <c r="L111" s="68">
        <f>0</f>
        <v>0</v>
      </c>
      <c r="M111" s="69">
        <f>0</f>
        <v>0</v>
      </c>
      <c r="N111" s="70">
        <f>0</f>
        <v>0</v>
      </c>
      <c r="O111" s="71">
        <f>0</f>
        <v>0</v>
      </c>
      <c r="P111" s="71">
        <f>0</f>
        <v>0</v>
      </c>
      <c r="Q111" s="71">
        <f>0</f>
        <v>0</v>
      </c>
      <c r="R111" s="71">
        <f>0</f>
        <v>0</v>
      </c>
      <c r="S111" s="71">
        <f>0</f>
        <v>0</v>
      </c>
      <c r="T111" s="71">
        <f>0</f>
        <v>0</v>
      </c>
      <c r="U111" s="71">
        <f>0</f>
        <v>0</v>
      </c>
      <c r="V111" s="71">
        <f>0</f>
        <v>0</v>
      </c>
      <c r="W111" s="71">
        <f>0</f>
        <v>0</v>
      </c>
      <c r="X111" s="71">
        <f>0</f>
        <v>0</v>
      </c>
      <c r="Y111" s="71">
        <f>0</f>
        <v>0</v>
      </c>
      <c r="Z111" s="71">
        <f>0</f>
        <v>0</v>
      </c>
      <c r="AA111" s="71">
        <f>0</f>
        <v>0</v>
      </c>
      <c r="AB111" s="71">
        <f>0</f>
        <v>0</v>
      </c>
      <c r="AC111" s="71">
        <f>0</f>
        <v>0</v>
      </c>
      <c r="AD111" s="71">
        <f>0</f>
        <v>0</v>
      </c>
      <c r="AE111" s="71">
        <f>0</f>
        <v>0</v>
      </c>
      <c r="AF111" s="71">
        <f>0</f>
        <v>0</v>
      </c>
      <c r="AG111" s="71">
        <f>0</f>
        <v>0</v>
      </c>
      <c r="AH111" s="71">
        <f>0</f>
        <v>0</v>
      </c>
      <c r="AI111" s="71">
        <f>0</f>
        <v>0</v>
      </c>
      <c r="AJ111" s="71">
        <f>0</f>
        <v>0</v>
      </c>
      <c r="AK111" s="71">
        <f>0</f>
        <v>0</v>
      </c>
      <c r="AL111" s="71">
        <f>0</f>
        <v>0</v>
      </c>
      <c r="AM111" s="71">
        <f>0</f>
        <v>0</v>
      </c>
      <c r="AN111" s="71">
        <f>0</f>
        <v>0</v>
      </c>
      <c r="AO111" s="71">
        <f>0</f>
        <v>0</v>
      </c>
      <c r="AP111" s="71">
        <f>0</f>
        <v>0</v>
      </c>
      <c r="AQ111" s="71">
        <f>0</f>
        <v>0</v>
      </c>
      <c r="AR111" s="71">
        <f>0</f>
        <v>0</v>
      </c>
      <c r="AS111" s="71">
        <f>0</f>
        <v>0</v>
      </c>
      <c r="AT111" s="71">
        <f>0</f>
        <v>0</v>
      </c>
      <c r="AU111" s="71">
        <f>0</f>
        <v>0</v>
      </c>
      <c r="AV111" s="71">
        <f>0</f>
        <v>0</v>
      </c>
      <c r="AW111" s="71">
        <f>0</f>
        <v>0</v>
      </c>
      <c r="AX111" s="71">
        <f>0</f>
        <v>0</v>
      </c>
      <c r="AY111" s="71">
        <f>0</f>
        <v>0</v>
      </c>
      <c r="AZ111" s="71">
        <f>0</f>
        <v>0</v>
      </c>
      <c r="BA111" s="72">
        <f>0</f>
        <v>0</v>
      </c>
      <c r="BB111" s="21"/>
    </row>
    <row r="112" spans="1:54" ht="24" outlineLevel="1">
      <c r="A112" s="244" t="s">
        <v>27</v>
      </c>
      <c r="B112" s="244"/>
      <c r="C112" s="65" t="s">
        <v>72</v>
      </c>
      <c r="D112" s="85"/>
      <c r="E112" s="447" t="s">
        <v>353</v>
      </c>
      <c r="F112" s="103">
        <f>0</f>
        <v>0</v>
      </c>
      <c r="G112" s="103">
        <f>0</f>
        <v>0</v>
      </c>
      <c r="H112" s="103">
        <f>0</f>
        <v>0</v>
      </c>
      <c r="I112" s="103">
        <f>0</f>
        <v>0</v>
      </c>
      <c r="J112" s="103">
        <f>0</f>
        <v>0</v>
      </c>
      <c r="K112" s="68">
        <f>0</f>
        <v>0</v>
      </c>
      <c r="L112" s="68">
        <f>0</f>
        <v>0</v>
      </c>
      <c r="M112" s="69">
        <f>0</f>
        <v>0</v>
      </c>
      <c r="N112" s="70">
        <f>0</f>
        <v>0</v>
      </c>
      <c r="O112" s="71">
        <f>0</f>
        <v>0</v>
      </c>
      <c r="P112" s="71">
        <f>0</f>
        <v>0</v>
      </c>
      <c r="Q112" s="71">
        <f>0</f>
        <v>0</v>
      </c>
      <c r="R112" s="71">
        <f>0</f>
        <v>0</v>
      </c>
      <c r="S112" s="71">
        <f>0</f>
        <v>0</v>
      </c>
      <c r="T112" s="71">
        <f>0</f>
        <v>0</v>
      </c>
      <c r="U112" s="71">
        <f>0</f>
        <v>0</v>
      </c>
      <c r="V112" s="71">
        <f>0</f>
        <v>0</v>
      </c>
      <c r="W112" s="71">
        <f>0</f>
        <v>0</v>
      </c>
      <c r="X112" s="71">
        <f>0</f>
        <v>0</v>
      </c>
      <c r="Y112" s="71">
        <f>0</f>
        <v>0</v>
      </c>
      <c r="Z112" s="71">
        <f>0</f>
        <v>0</v>
      </c>
      <c r="AA112" s="71">
        <f>0</f>
        <v>0</v>
      </c>
      <c r="AB112" s="71">
        <f>0</f>
        <v>0</v>
      </c>
      <c r="AC112" s="71">
        <f>0</f>
        <v>0</v>
      </c>
      <c r="AD112" s="71">
        <f>0</f>
        <v>0</v>
      </c>
      <c r="AE112" s="71">
        <f>0</f>
        <v>0</v>
      </c>
      <c r="AF112" s="71">
        <f>0</f>
        <v>0</v>
      </c>
      <c r="AG112" s="71">
        <f>0</f>
        <v>0</v>
      </c>
      <c r="AH112" s="71">
        <f>0</f>
        <v>0</v>
      </c>
      <c r="AI112" s="71">
        <f>0</f>
        <v>0</v>
      </c>
      <c r="AJ112" s="71">
        <f>0</f>
        <v>0</v>
      </c>
      <c r="AK112" s="71">
        <f>0</f>
        <v>0</v>
      </c>
      <c r="AL112" s="71">
        <f>0</f>
        <v>0</v>
      </c>
      <c r="AM112" s="71">
        <f>0</f>
        <v>0</v>
      </c>
      <c r="AN112" s="71">
        <f>0</f>
        <v>0</v>
      </c>
      <c r="AO112" s="71">
        <f>0</f>
        <v>0</v>
      </c>
      <c r="AP112" s="71">
        <f>0</f>
        <v>0</v>
      </c>
      <c r="AQ112" s="71">
        <f>0</f>
        <v>0</v>
      </c>
      <c r="AR112" s="71">
        <f>0</f>
        <v>0</v>
      </c>
      <c r="AS112" s="71">
        <f>0</f>
        <v>0</v>
      </c>
      <c r="AT112" s="71">
        <f>0</f>
        <v>0</v>
      </c>
      <c r="AU112" s="71">
        <f>0</f>
        <v>0</v>
      </c>
      <c r="AV112" s="71">
        <f>0</f>
        <v>0</v>
      </c>
      <c r="AW112" s="71">
        <f>0</f>
        <v>0</v>
      </c>
      <c r="AX112" s="71">
        <f>0</f>
        <v>0</v>
      </c>
      <c r="AY112" s="71">
        <f>0</f>
        <v>0</v>
      </c>
      <c r="AZ112" s="71">
        <f>0</f>
        <v>0</v>
      </c>
      <c r="BA112" s="72">
        <f>0</f>
        <v>0</v>
      </c>
    </row>
    <row r="113" spans="1:54">
      <c r="A113" s="244"/>
      <c r="B113" s="244"/>
      <c r="C113" s="22">
        <v>12</v>
      </c>
      <c r="D113" s="85"/>
      <c r="E113" s="111" t="s">
        <v>264</v>
      </c>
      <c r="F113" s="105" t="s">
        <v>27</v>
      </c>
      <c r="G113" s="105" t="s">
        <v>27</v>
      </c>
      <c r="H113" s="105" t="s">
        <v>27</v>
      </c>
      <c r="I113" s="105" t="s">
        <v>27</v>
      </c>
      <c r="J113" s="105" t="s">
        <v>27</v>
      </c>
      <c r="K113" s="75" t="s">
        <v>27</v>
      </c>
      <c r="L113" s="75" t="s">
        <v>27</v>
      </c>
      <c r="M113" s="76" t="s">
        <v>27</v>
      </c>
      <c r="N113" s="77" t="s">
        <v>27</v>
      </c>
      <c r="O113" s="78" t="s">
        <v>27</v>
      </c>
      <c r="P113" s="78" t="s">
        <v>27</v>
      </c>
      <c r="Q113" s="78" t="s">
        <v>27</v>
      </c>
      <c r="R113" s="78" t="s">
        <v>27</v>
      </c>
      <c r="S113" s="78" t="s">
        <v>27</v>
      </c>
      <c r="T113" s="78" t="s">
        <v>27</v>
      </c>
      <c r="U113" s="78" t="s">
        <v>27</v>
      </c>
      <c r="V113" s="78" t="s">
        <v>27</v>
      </c>
      <c r="W113" s="78" t="s">
        <v>27</v>
      </c>
      <c r="X113" s="78" t="s">
        <v>27</v>
      </c>
      <c r="Y113" s="78" t="s">
        <v>27</v>
      </c>
      <c r="Z113" s="78" t="s">
        <v>27</v>
      </c>
      <c r="AA113" s="78" t="s">
        <v>27</v>
      </c>
      <c r="AB113" s="78" t="s">
        <v>27</v>
      </c>
      <c r="AC113" s="78" t="s">
        <v>27</v>
      </c>
      <c r="AD113" s="78" t="s">
        <v>27</v>
      </c>
      <c r="AE113" s="78" t="s">
        <v>27</v>
      </c>
      <c r="AF113" s="78" t="s">
        <v>27</v>
      </c>
      <c r="AG113" s="78" t="s">
        <v>27</v>
      </c>
      <c r="AH113" s="78" t="s">
        <v>27</v>
      </c>
      <c r="AI113" s="78" t="s">
        <v>27</v>
      </c>
      <c r="AJ113" s="78" t="s">
        <v>27</v>
      </c>
      <c r="AK113" s="78" t="s">
        <v>27</v>
      </c>
      <c r="AL113" s="78" t="s">
        <v>27</v>
      </c>
      <c r="AM113" s="78" t="s">
        <v>27</v>
      </c>
      <c r="AN113" s="78" t="s">
        <v>27</v>
      </c>
      <c r="AO113" s="78" t="s">
        <v>27</v>
      </c>
      <c r="AP113" s="78" t="s">
        <v>27</v>
      </c>
      <c r="AQ113" s="78" t="s">
        <v>27</v>
      </c>
      <c r="AR113" s="78" t="s">
        <v>27</v>
      </c>
      <c r="AS113" s="78" t="s">
        <v>27</v>
      </c>
      <c r="AT113" s="78" t="s">
        <v>27</v>
      </c>
      <c r="AU113" s="78" t="s">
        <v>27</v>
      </c>
      <c r="AV113" s="78" t="s">
        <v>27</v>
      </c>
      <c r="AW113" s="78" t="s">
        <v>27</v>
      </c>
      <c r="AX113" s="78" t="s">
        <v>27</v>
      </c>
      <c r="AY113" s="78" t="s">
        <v>27</v>
      </c>
      <c r="AZ113" s="78" t="s">
        <v>27</v>
      </c>
      <c r="BA113" s="79" t="s">
        <v>27</v>
      </c>
    </row>
    <row r="114" spans="1:54" outlineLevel="1">
      <c r="A114" s="244"/>
      <c r="B114" s="244"/>
      <c r="C114" s="65" t="s">
        <v>73</v>
      </c>
      <c r="D114" s="85"/>
      <c r="E114" s="447" t="s">
        <v>354</v>
      </c>
      <c r="F114" s="103">
        <f>0</f>
        <v>0</v>
      </c>
      <c r="G114" s="103">
        <f>0</f>
        <v>0</v>
      </c>
      <c r="H114" s="103">
        <f>0</f>
        <v>0</v>
      </c>
      <c r="I114" s="103">
        <f>0</f>
        <v>0</v>
      </c>
      <c r="J114" s="103">
        <f>0</f>
        <v>0</v>
      </c>
      <c r="K114" s="68">
        <f>0</f>
        <v>0</v>
      </c>
      <c r="L114" s="68">
        <f>0</f>
        <v>0</v>
      </c>
      <c r="M114" s="69">
        <f>0</f>
        <v>0</v>
      </c>
      <c r="N114" s="70">
        <f>0</f>
        <v>0</v>
      </c>
      <c r="O114" s="71">
        <f>0</f>
        <v>0</v>
      </c>
      <c r="P114" s="71">
        <f>0</f>
        <v>0</v>
      </c>
      <c r="Q114" s="71">
        <f>0</f>
        <v>0</v>
      </c>
      <c r="R114" s="71">
        <f>0</f>
        <v>0</v>
      </c>
      <c r="S114" s="71">
        <f>0</f>
        <v>0</v>
      </c>
      <c r="T114" s="71">
        <f>0</f>
        <v>0</v>
      </c>
      <c r="U114" s="71">
        <f>0</f>
        <v>0</v>
      </c>
      <c r="V114" s="71">
        <f>0</f>
        <v>0</v>
      </c>
      <c r="W114" s="71">
        <f>0</f>
        <v>0</v>
      </c>
      <c r="X114" s="71">
        <f>0</f>
        <v>0</v>
      </c>
      <c r="Y114" s="71">
        <f>0</f>
        <v>0</v>
      </c>
      <c r="Z114" s="71">
        <f>0</f>
        <v>0</v>
      </c>
      <c r="AA114" s="71">
        <f>0</f>
        <v>0</v>
      </c>
      <c r="AB114" s="71">
        <f>0</f>
        <v>0</v>
      </c>
      <c r="AC114" s="71">
        <f>0</f>
        <v>0</v>
      </c>
      <c r="AD114" s="71">
        <f>0</f>
        <v>0</v>
      </c>
      <c r="AE114" s="71">
        <f>0</f>
        <v>0</v>
      </c>
      <c r="AF114" s="71">
        <f>0</f>
        <v>0</v>
      </c>
      <c r="AG114" s="71">
        <f>0</f>
        <v>0</v>
      </c>
      <c r="AH114" s="71">
        <f>0</f>
        <v>0</v>
      </c>
      <c r="AI114" s="71">
        <f>0</f>
        <v>0</v>
      </c>
      <c r="AJ114" s="71">
        <f>0</f>
        <v>0</v>
      </c>
      <c r="AK114" s="71">
        <f>0</f>
        <v>0</v>
      </c>
      <c r="AL114" s="71">
        <f>0</f>
        <v>0</v>
      </c>
      <c r="AM114" s="71">
        <f>0</f>
        <v>0</v>
      </c>
      <c r="AN114" s="71">
        <f>0</f>
        <v>0</v>
      </c>
      <c r="AO114" s="71">
        <f>0</f>
        <v>0</v>
      </c>
      <c r="AP114" s="71">
        <f>0</f>
        <v>0</v>
      </c>
      <c r="AQ114" s="71">
        <f>0</f>
        <v>0</v>
      </c>
      <c r="AR114" s="71">
        <f>0</f>
        <v>0</v>
      </c>
      <c r="AS114" s="71">
        <f>0</f>
        <v>0</v>
      </c>
      <c r="AT114" s="71">
        <f>0</f>
        <v>0</v>
      </c>
      <c r="AU114" s="71">
        <f>0</f>
        <v>0</v>
      </c>
      <c r="AV114" s="71">
        <f>0</f>
        <v>0</v>
      </c>
      <c r="AW114" s="71">
        <f>0</f>
        <v>0</v>
      </c>
      <c r="AX114" s="71">
        <f>0</f>
        <v>0</v>
      </c>
      <c r="AY114" s="71">
        <f>0</f>
        <v>0</v>
      </c>
      <c r="AZ114" s="71">
        <f>0</f>
        <v>0</v>
      </c>
      <c r="BA114" s="72">
        <f>0</f>
        <v>0</v>
      </c>
    </row>
    <row r="115" spans="1:54" outlineLevel="1">
      <c r="A115" s="244" t="s">
        <v>27</v>
      </c>
      <c r="B115" s="244"/>
      <c r="C115" s="65" t="s">
        <v>74</v>
      </c>
      <c r="D115" s="85"/>
      <c r="E115" s="447" t="s">
        <v>355</v>
      </c>
      <c r="F115" s="105" t="s">
        <v>27</v>
      </c>
      <c r="G115" s="105" t="s">
        <v>27</v>
      </c>
      <c r="H115" s="105" t="s">
        <v>27</v>
      </c>
      <c r="I115" s="105" t="s">
        <v>27</v>
      </c>
      <c r="J115" s="105" t="s">
        <v>27</v>
      </c>
      <c r="K115" s="75" t="s">
        <v>27</v>
      </c>
      <c r="L115" s="75" t="s">
        <v>27</v>
      </c>
      <c r="M115" s="76" t="s">
        <v>27</v>
      </c>
      <c r="N115" s="196">
        <f>0</f>
        <v>0</v>
      </c>
      <c r="O115" s="197">
        <f>0</f>
        <v>0</v>
      </c>
      <c r="P115" s="197">
        <f>0</f>
        <v>0</v>
      </c>
      <c r="Q115" s="197">
        <f>0</f>
        <v>0</v>
      </c>
      <c r="R115" s="197">
        <f>0</f>
        <v>0</v>
      </c>
      <c r="S115" s="197">
        <f>0</f>
        <v>0</v>
      </c>
      <c r="T115" s="197">
        <f>0</f>
        <v>0</v>
      </c>
      <c r="U115" s="197">
        <f>0</f>
        <v>0</v>
      </c>
      <c r="V115" s="197">
        <f>0</f>
        <v>0</v>
      </c>
      <c r="W115" s="197">
        <f>0</f>
        <v>0</v>
      </c>
      <c r="X115" s="197">
        <f>0</f>
        <v>0</v>
      </c>
      <c r="Y115" s="197">
        <f>0</f>
        <v>0</v>
      </c>
      <c r="Z115" s="197">
        <f>0</f>
        <v>0</v>
      </c>
      <c r="AA115" s="197">
        <f>0</f>
        <v>0</v>
      </c>
      <c r="AB115" s="197">
        <f>0</f>
        <v>0</v>
      </c>
      <c r="AC115" s="197">
        <f>0</f>
        <v>0</v>
      </c>
      <c r="AD115" s="197">
        <f>0</f>
        <v>0</v>
      </c>
      <c r="AE115" s="197">
        <f>0</f>
        <v>0</v>
      </c>
      <c r="AF115" s="197">
        <f>0</f>
        <v>0</v>
      </c>
      <c r="AG115" s="197">
        <f>0</f>
        <v>0</v>
      </c>
      <c r="AH115" s="197">
        <f>0</f>
        <v>0</v>
      </c>
      <c r="AI115" s="197">
        <f>0</f>
        <v>0</v>
      </c>
      <c r="AJ115" s="197">
        <f>0</f>
        <v>0</v>
      </c>
      <c r="AK115" s="197">
        <f>0</f>
        <v>0</v>
      </c>
      <c r="AL115" s="197">
        <f>0</f>
        <v>0</v>
      </c>
      <c r="AM115" s="197">
        <f>0</f>
        <v>0</v>
      </c>
      <c r="AN115" s="197">
        <f>0</f>
        <v>0</v>
      </c>
      <c r="AO115" s="197">
        <f>0</f>
        <v>0</v>
      </c>
      <c r="AP115" s="197">
        <f>0</f>
        <v>0</v>
      </c>
      <c r="AQ115" s="197">
        <f>0</f>
        <v>0</v>
      </c>
      <c r="AR115" s="197">
        <f>0</f>
        <v>0</v>
      </c>
      <c r="AS115" s="197">
        <f>0</f>
        <v>0</v>
      </c>
      <c r="AT115" s="197">
        <f>0</f>
        <v>0</v>
      </c>
      <c r="AU115" s="197">
        <f>0</f>
        <v>0</v>
      </c>
      <c r="AV115" s="197">
        <f>0</f>
        <v>0</v>
      </c>
      <c r="AW115" s="197">
        <f>0</f>
        <v>0</v>
      </c>
      <c r="AX115" s="197">
        <f>0</f>
        <v>0</v>
      </c>
      <c r="AY115" s="197">
        <f>0</f>
        <v>0</v>
      </c>
      <c r="AZ115" s="197">
        <f>0</f>
        <v>0</v>
      </c>
      <c r="BA115" s="198">
        <f>0</f>
        <v>0</v>
      </c>
    </row>
    <row r="116" spans="1:54" outlineLevel="1">
      <c r="A116" s="244" t="s">
        <v>27</v>
      </c>
      <c r="B116" s="244"/>
      <c r="C116" s="58" t="s">
        <v>75</v>
      </c>
      <c r="D116" s="87"/>
      <c r="E116" s="460" t="s">
        <v>356</v>
      </c>
      <c r="F116" s="117" t="s">
        <v>27</v>
      </c>
      <c r="G116" s="117" t="s">
        <v>27</v>
      </c>
      <c r="H116" s="117" t="s">
        <v>27</v>
      </c>
      <c r="I116" s="117" t="s">
        <v>27</v>
      </c>
      <c r="J116" s="117" t="s">
        <v>27</v>
      </c>
      <c r="K116" s="118" t="s">
        <v>27</v>
      </c>
      <c r="L116" s="118" t="s">
        <v>27</v>
      </c>
      <c r="M116" s="119" t="s">
        <v>27</v>
      </c>
      <c r="N116" s="199">
        <f>0</f>
        <v>0</v>
      </c>
      <c r="O116" s="200">
        <f>0</f>
        <v>0</v>
      </c>
      <c r="P116" s="200">
        <f>0</f>
        <v>0</v>
      </c>
      <c r="Q116" s="200">
        <f>0</f>
        <v>0</v>
      </c>
      <c r="R116" s="200">
        <f>0</f>
        <v>0</v>
      </c>
      <c r="S116" s="200">
        <f>0</f>
        <v>0</v>
      </c>
      <c r="T116" s="200">
        <f>0</f>
        <v>0</v>
      </c>
      <c r="U116" s="200">
        <f>0</f>
        <v>0</v>
      </c>
      <c r="V116" s="200">
        <f>0</f>
        <v>0</v>
      </c>
      <c r="W116" s="200">
        <f>0</f>
        <v>0</v>
      </c>
      <c r="X116" s="200">
        <f>0</f>
        <v>0</v>
      </c>
      <c r="Y116" s="200">
        <f>0</f>
        <v>0</v>
      </c>
      <c r="Z116" s="200">
        <f>0</f>
        <v>0</v>
      </c>
      <c r="AA116" s="200">
        <f>0</f>
        <v>0</v>
      </c>
      <c r="AB116" s="200">
        <f>0</f>
        <v>0</v>
      </c>
      <c r="AC116" s="200">
        <f>0</f>
        <v>0</v>
      </c>
      <c r="AD116" s="200">
        <f>0</f>
        <v>0</v>
      </c>
      <c r="AE116" s="200">
        <f>0</f>
        <v>0</v>
      </c>
      <c r="AF116" s="200">
        <f>0</f>
        <v>0</v>
      </c>
      <c r="AG116" s="200">
        <f>0</f>
        <v>0</v>
      </c>
      <c r="AH116" s="200">
        <f>0</f>
        <v>0</v>
      </c>
      <c r="AI116" s="200">
        <f>0</f>
        <v>0</v>
      </c>
      <c r="AJ116" s="200">
        <f>0</f>
        <v>0</v>
      </c>
      <c r="AK116" s="200">
        <f>0</f>
        <v>0</v>
      </c>
      <c r="AL116" s="200">
        <f>0</f>
        <v>0</v>
      </c>
      <c r="AM116" s="200">
        <f>0</f>
        <v>0</v>
      </c>
      <c r="AN116" s="200">
        <f>0</f>
        <v>0</v>
      </c>
      <c r="AO116" s="200">
        <f>0</f>
        <v>0</v>
      </c>
      <c r="AP116" s="200">
        <f>0</f>
        <v>0</v>
      </c>
      <c r="AQ116" s="200">
        <f>0</f>
        <v>0</v>
      </c>
      <c r="AR116" s="200">
        <f>0</f>
        <v>0</v>
      </c>
      <c r="AS116" s="200">
        <f>0</f>
        <v>0</v>
      </c>
      <c r="AT116" s="200">
        <f>0</f>
        <v>0</v>
      </c>
      <c r="AU116" s="200">
        <f>0</f>
        <v>0</v>
      </c>
      <c r="AV116" s="200">
        <f>0</f>
        <v>0</v>
      </c>
      <c r="AW116" s="200">
        <f>0</f>
        <v>0</v>
      </c>
      <c r="AX116" s="200">
        <f>0</f>
        <v>0</v>
      </c>
      <c r="AY116" s="200">
        <f>0</f>
        <v>0</v>
      </c>
      <c r="AZ116" s="200">
        <f>0</f>
        <v>0</v>
      </c>
      <c r="BA116" s="201">
        <f>0</f>
        <v>0</v>
      </c>
    </row>
    <row r="117" spans="1:54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0"/>
    </row>
    <row r="118" spans="1:54" s="246" customFormat="1" ht="15">
      <c r="A118" s="244"/>
      <c r="B118" s="244"/>
      <c r="C118" s="1"/>
      <c r="D118" s="1"/>
      <c r="E118" s="224" t="s">
        <v>590</v>
      </c>
      <c r="F118" s="224"/>
      <c r="G118" s="224"/>
      <c r="H118" s="224"/>
      <c r="I118" s="224"/>
      <c r="J118" s="224"/>
      <c r="K118" s="224"/>
      <c r="L118" s="224"/>
      <c r="M118" s="2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4" s="246" customFormat="1" outlineLevel="1">
      <c r="A119" s="244"/>
      <c r="B119" s="244"/>
      <c r="C119" s="1"/>
      <c r="D119" s="1"/>
      <c r="E119" s="41" t="s">
        <v>29</v>
      </c>
      <c r="F119" s="41"/>
      <c r="G119" s="41"/>
      <c r="H119" s="41"/>
      <c r="I119" s="41"/>
      <c r="J119" s="305"/>
      <c r="K119" s="305"/>
      <c r="L119" s="305"/>
      <c r="M119" s="30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4" s="246" customFormat="1" outlineLevel="1">
      <c r="A120" s="244"/>
      <c r="B120" s="244"/>
      <c r="C120" s="1"/>
      <c r="D120" s="1"/>
      <c r="E120" s="306">
        <v>0</v>
      </c>
      <c r="F120" s="17" t="str">
        <f>+"różnica mniejsza od "&amp;TEXT($E$120*100,"0,0")&amp;"%"</f>
        <v>różnica mniejsza od 0,0%</v>
      </c>
      <c r="J120" s="17" t="str">
        <f>+"różnica mniejsza od "&amp;TEXT($E$120*100,"0,0")&amp;"%"</f>
        <v>różnica mniejsza od 0,0%</v>
      </c>
      <c r="K120" s="307"/>
      <c r="L120" s="307"/>
      <c r="M120" s="307"/>
      <c r="N120" s="17" t="str">
        <f>+"różnica mniejsza od "&amp;TEXT($E$120*100,"0,0")&amp;"%"</f>
        <v>różnica mniejsza od 0,0%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4" s="246" customFormat="1" outlineLevel="1">
      <c r="A121" s="244"/>
      <c r="B121" s="244"/>
      <c r="C121" s="1"/>
      <c r="D121" s="1"/>
      <c r="E121" s="308">
        <v>5.0000000000000001E-3</v>
      </c>
      <c r="F121" s="17" t="str">
        <f>+"różnica mniejsza od "&amp;TEXT($E$121*100,"0,0")&amp;"%"</f>
        <v>różnica mniejsza od 0,5%</v>
      </c>
      <c r="J121" s="17" t="str">
        <f>+"różnica mniejsza od "&amp;TEXT($E$121*100,"0,0")&amp;"%"</f>
        <v>różnica mniejsza od 0,5%</v>
      </c>
      <c r="K121" s="307"/>
      <c r="L121" s="307"/>
      <c r="M121" s="307"/>
      <c r="N121" s="17" t="str">
        <f>+"różnica mniejsza od "&amp;TEXT($E$121*100,"0,0")&amp;"%"</f>
        <v>różnica mniejsza od 0,5%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4" s="246" customFormat="1" outlineLevel="1">
      <c r="A122" s="244"/>
      <c r="B122" s="244"/>
      <c r="C122" s="1"/>
      <c r="D122" s="1"/>
      <c r="E122" s="309">
        <v>0.01</v>
      </c>
      <c r="F122" s="17" t="str">
        <f>+"różnica mniejsza od "&amp;TEXT($E$122*100,"0,0")&amp;"%"</f>
        <v>różnica mniejsza od 1,0%</v>
      </c>
      <c r="J122" s="17" t="str">
        <f>+"różnica mniejsza od "&amp;TEXT($E$122*100,"0,0")&amp;"%"</f>
        <v>różnica mniejsza od 1,0%</v>
      </c>
      <c r="K122" s="307"/>
      <c r="L122" s="307"/>
      <c r="M122" s="307"/>
      <c r="N122" s="17" t="str">
        <f>+"różnica mniejsza od "&amp;TEXT($E$122*100,"0,0")&amp;"%"</f>
        <v>różnica mniejsza od 1,0%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4" s="246" customFormat="1" ht="15" outlineLevel="1">
      <c r="A123" s="244"/>
      <c r="B123" s="244"/>
      <c r="C123" s="1"/>
      <c r="D123" s="1"/>
      <c r="E123" s="289" t="s">
        <v>591</v>
      </c>
      <c r="F123" s="99" t="s">
        <v>27</v>
      </c>
      <c r="G123" s="99" t="s">
        <v>27</v>
      </c>
      <c r="H123" s="99" t="s">
        <v>27</v>
      </c>
      <c r="I123" s="99" t="s">
        <v>27</v>
      </c>
      <c r="J123" s="99" t="s">
        <v>27</v>
      </c>
      <c r="K123" s="51" t="s">
        <v>27</v>
      </c>
      <c r="L123" s="51" t="s">
        <v>27</v>
      </c>
      <c r="M123" s="52" t="s">
        <v>27</v>
      </c>
      <c r="N123" s="290">
        <f t="shared" ref="N123:BA123" si="15">+IF(N$10=0,"",ROUND(N$69-N$63,4))</f>
        <v>0.13830000000000001</v>
      </c>
      <c r="O123" s="291">
        <f t="shared" si="15"/>
        <v>7.0900000000000005E-2</v>
      </c>
      <c r="P123" s="291">
        <f t="shared" si="15"/>
        <v>6.2700000000000006E-2</v>
      </c>
      <c r="Q123" s="291">
        <f t="shared" si="15"/>
        <v>5.4899999999999997E-2</v>
      </c>
      <c r="R123" s="291">
        <f t="shared" si="15"/>
        <v>4.3400000000000001E-2</v>
      </c>
      <c r="S123" s="291">
        <f t="shared" si="15"/>
        <v>3.4700000000000002E-2</v>
      </c>
      <c r="T123" s="291">
        <f t="shared" si="15"/>
        <v>4.3799999999999999E-2</v>
      </c>
      <c r="U123" s="291">
        <f t="shared" si="15"/>
        <v>5.1900000000000002E-2</v>
      </c>
      <c r="V123" s="291">
        <f t="shared" si="15"/>
        <v>6.5000000000000002E-2</v>
      </c>
      <c r="W123" s="291">
        <f t="shared" si="15"/>
        <v>7.4800000000000005E-2</v>
      </c>
      <c r="X123" s="291">
        <f t="shared" si="15"/>
        <v>8.0399999999999999E-2</v>
      </c>
      <c r="Y123" s="291">
        <f t="shared" si="15"/>
        <v>8.9899999999999994E-2</v>
      </c>
      <c r="Z123" s="291" t="str">
        <f t="shared" si="15"/>
        <v/>
      </c>
      <c r="AA123" s="291" t="str">
        <f t="shared" si="15"/>
        <v/>
      </c>
      <c r="AB123" s="291" t="str">
        <f t="shared" si="15"/>
        <v/>
      </c>
      <c r="AC123" s="291" t="str">
        <f t="shared" si="15"/>
        <v/>
      </c>
      <c r="AD123" s="291" t="str">
        <f t="shared" si="15"/>
        <v/>
      </c>
      <c r="AE123" s="291" t="str">
        <f t="shared" si="15"/>
        <v/>
      </c>
      <c r="AF123" s="291" t="str">
        <f t="shared" si="15"/>
        <v/>
      </c>
      <c r="AG123" s="291" t="str">
        <f t="shared" si="15"/>
        <v/>
      </c>
      <c r="AH123" s="291" t="str">
        <f t="shared" si="15"/>
        <v/>
      </c>
      <c r="AI123" s="291" t="str">
        <f t="shared" si="15"/>
        <v/>
      </c>
      <c r="AJ123" s="291" t="str">
        <f t="shared" si="15"/>
        <v/>
      </c>
      <c r="AK123" s="291" t="str">
        <f t="shared" si="15"/>
        <v/>
      </c>
      <c r="AL123" s="291" t="str">
        <f t="shared" si="15"/>
        <v/>
      </c>
      <c r="AM123" s="291" t="str">
        <f t="shared" si="15"/>
        <v/>
      </c>
      <c r="AN123" s="291" t="str">
        <f t="shared" si="15"/>
        <v/>
      </c>
      <c r="AO123" s="291" t="str">
        <f t="shared" si="15"/>
        <v/>
      </c>
      <c r="AP123" s="291" t="str">
        <f t="shared" si="15"/>
        <v/>
      </c>
      <c r="AQ123" s="291" t="str">
        <f t="shared" si="15"/>
        <v/>
      </c>
      <c r="AR123" s="291" t="str">
        <f t="shared" si="15"/>
        <v/>
      </c>
      <c r="AS123" s="291" t="str">
        <f t="shared" si="15"/>
        <v/>
      </c>
      <c r="AT123" s="291" t="str">
        <f t="shared" si="15"/>
        <v/>
      </c>
      <c r="AU123" s="291" t="str">
        <f t="shared" si="15"/>
        <v/>
      </c>
      <c r="AV123" s="291" t="str">
        <f t="shared" si="15"/>
        <v/>
      </c>
      <c r="AW123" s="291" t="str">
        <f t="shared" si="15"/>
        <v/>
      </c>
      <c r="AX123" s="291" t="str">
        <f t="shared" si="15"/>
        <v/>
      </c>
      <c r="AY123" s="291" t="str">
        <f t="shared" si="15"/>
        <v/>
      </c>
      <c r="AZ123" s="291" t="str">
        <f t="shared" si="15"/>
        <v/>
      </c>
      <c r="BA123" s="292" t="str">
        <f t="shared" si="15"/>
        <v/>
      </c>
    </row>
    <row r="124" spans="1:54" s="246" customFormat="1" ht="15" outlineLevel="1">
      <c r="A124" s="244"/>
      <c r="B124" s="244"/>
      <c r="C124" s="1"/>
      <c r="D124" s="1"/>
      <c r="E124" s="293" t="s">
        <v>592</v>
      </c>
      <c r="F124" s="100" t="s">
        <v>27</v>
      </c>
      <c r="G124" s="100" t="s">
        <v>27</v>
      </c>
      <c r="H124" s="100" t="s">
        <v>27</v>
      </c>
      <c r="I124" s="100" t="s">
        <v>27</v>
      </c>
      <c r="J124" s="100" t="s">
        <v>27</v>
      </c>
      <c r="K124" s="53" t="s">
        <v>27</v>
      </c>
      <c r="L124" s="53" t="s">
        <v>27</v>
      </c>
      <c r="M124" s="54" t="s">
        <v>27</v>
      </c>
      <c r="N124" s="294">
        <f t="shared" ref="N124:BA124" si="16">+IF(N$10=0,"",ROUND(N$70-N$63,4))</f>
        <v>0.1671</v>
      </c>
      <c r="O124" s="295">
        <f t="shared" si="16"/>
        <v>9.9599999999999994E-2</v>
      </c>
      <c r="P124" s="295">
        <f t="shared" si="16"/>
        <v>9.1399999999999995E-2</v>
      </c>
      <c r="Q124" s="295">
        <f t="shared" si="16"/>
        <v>8.3699999999999997E-2</v>
      </c>
      <c r="R124" s="295">
        <f t="shared" si="16"/>
        <v>6.0400000000000002E-2</v>
      </c>
      <c r="S124" s="295">
        <f t="shared" si="16"/>
        <v>5.1700000000000003E-2</v>
      </c>
      <c r="T124" s="295">
        <f t="shared" si="16"/>
        <v>6.08E-2</v>
      </c>
      <c r="U124" s="295">
        <f t="shared" si="16"/>
        <v>5.1900000000000002E-2</v>
      </c>
      <c r="V124" s="295">
        <f t="shared" si="16"/>
        <v>6.5000000000000002E-2</v>
      </c>
      <c r="W124" s="295">
        <f t="shared" si="16"/>
        <v>7.4800000000000005E-2</v>
      </c>
      <c r="X124" s="295">
        <f t="shared" si="16"/>
        <v>8.0399999999999999E-2</v>
      </c>
      <c r="Y124" s="295">
        <f t="shared" si="16"/>
        <v>8.9899999999999994E-2</v>
      </c>
      <c r="Z124" s="295" t="str">
        <f t="shared" si="16"/>
        <v/>
      </c>
      <c r="AA124" s="295" t="str">
        <f t="shared" si="16"/>
        <v/>
      </c>
      <c r="AB124" s="295" t="str">
        <f t="shared" si="16"/>
        <v/>
      </c>
      <c r="AC124" s="295" t="str">
        <f t="shared" si="16"/>
        <v/>
      </c>
      <c r="AD124" s="295" t="str">
        <f t="shared" si="16"/>
        <v/>
      </c>
      <c r="AE124" s="295" t="str">
        <f t="shared" si="16"/>
        <v/>
      </c>
      <c r="AF124" s="295" t="str">
        <f t="shared" si="16"/>
        <v/>
      </c>
      <c r="AG124" s="295" t="str">
        <f t="shared" si="16"/>
        <v/>
      </c>
      <c r="AH124" s="295" t="str">
        <f t="shared" si="16"/>
        <v/>
      </c>
      <c r="AI124" s="295" t="str">
        <f t="shared" si="16"/>
        <v/>
      </c>
      <c r="AJ124" s="295" t="str">
        <f t="shared" si="16"/>
        <v/>
      </c>
      <c r="AK124" s="295" t="str">
        <f t="shared" si="16"/>
        <v/>
      </c>
      <c r="AL124" s="295" t="str">
        <f t="shared" si="16"/>
        <v/>
      </c>
      <c r="AM124" s="295" t="str">
        <f t="shared" si="16"/>
        <v/>
      </c>
      <c r="AN124" s="295" t="str">
        <f t="shared" si="16"/>
        <v/>
      </c>
      <c r="AO124" s="295" t="str">
        <f t="shared" si="16"/>
        <v/>
      </c>
      <c r="AP124" s="295" t="str">
        <f t="shared" si="16"/>
        <v/>
      </c>
      <c r="AQ124" s="295" t="str">
        <f t="shared" si="16"/>
        <v/>
      </c>
      <c r="AR124" s="295" t="str">
        <f t="shared" si="16"/>
        <v/>
      </c>
      <c r="AS124" s="295" t="str">
        <f t="shared" si="16"/>
        <v/>
      </c>
      <c r="AT124" s="295" t="str">
        <f t="shared" si="16"/>
        <v/>
      </c>
      <c r="AU124" s="295" t="str">
        <f t="shared" si="16"/>
        <v/>
      </c>
      <c r="AV124" s="295" t="str">
        <f t="shared" si="16"/>
        <v/>
      </c>
      <c r="AW124" s="295" t="str">
        <f t="shared" si="16"/>
        <v/>
      </c>
      <c r="AX124" s="295" t="str">
        <f t="shared" si="16"/>
        <v/>
      </c>
      <c r="AY124" s="295" t="str">
        <f t="shared" si="16"/>
        <v/>
      </c>
      <c r="AZ124" s="295" t="str">
        <f t="shared" si="16"/>
        <v/>
      </c>
      <c r="BA124" s="296" t="str">
        <f t="shared" si="16"/>
        <v/>
      </c>
    </row>
    <row r="125" spans="1:54" s="246" customFormat="1" ht="15" outlineLevel="1">
      <c r="A125" s="244"/>
      <c r="B125" s="244"/>
      <c r="C125" s="1"/>
      <c r="D125" s="1"/>
      <c r="E125" s="285" t="s">
        <v>555</v>
      </c>
      <c r="F125" s="99" t="s">
        <v>27</v>
      </c>
      <c r="G125" s="99" t="s">
        <v>27</v>
      </c>
      <c r="H125" s="99" t="s">
        <v>27</v>
      </c>
      <c r="I125" s="99" t="s">
        <v>27</v>
      </c>
      <c r="J125" s="99" t="s">
        <v>27</v>
      </c>
      <c r="K125" s="51" t="s">
        <v>27</v>
      </c>
      <c r="L125" s="51" t="s">
        <v>27</v>
      </c>
      <c r="M125" s="52" t="s">
        <v>27</v>
      </c>
      <c r="N125" s="286">
        <f t="shared" ref="N125:BA125" si="17">+IF(N$10=0,"",ROUND(-(N$96/(N$11-N$15-N$111)),4))</f>
        <v>0</v>
      </c>
      <c r="O125" s="287">
        <f t="shared" si="17"/>
        <v>0</v>
      </c>
      <c r="P125" s="287">
        <f t="shared" si="17"/>
        <v>0</v>
      </c>
      <c r="Q125" s="287">
        <f t="shared" si="17"/>
        <v>0</v>
      </c>
      <c r="R125" s="287">
        <f t="shared" si="17"/>
        <v>0</v>
      </c>
      <c r="S125" s="287">
        <f t="shared" si="17"/>
        <v>0</v>
      </c>
      <c r="T125" s="287">
        <f t="shared" si="17"/>
        <v>0</v>
      </c>
      <c r="U125" s="287">
        <f t="shared" si="17"/>
        <v>0</v>
      </c>
      <c r="V125" s="287">
        <f t="shared" si="17"/>
        <v>0</v>
      </c>
      <c r="W125" s="287">
        <f t="shared" si="17"/>
        <v>0</v>
      </c>
      <c r="X125" s="287">
        <f t="shared" si="17"/>
        <v>0</v>
      </c>
      <c r="Y125" s="287">
        <f t="shared" si="17"/>
        <v>0</v>
      </c>
      <c r="Z125" s="287" t="str">
        <f t="shared" si="17"/>
        <v/>
      </c>
      <c r="AA125" s="287" t="str">
        <f t="shared" si="17"/>
        <v/>
      </c>
      <c r="AB125" s="287" t="str">
        <f t="shared" si="17"/>
        <v/>
      </c>
      <c r="AC125" s="287" t="str">
        <f t="shared" si="17"/>
        <v/>
      </c>
      <c r="AD125" s="287" t="str">
        <f t="shared" si="17"/>
        <v/>
      </c>
      <c r="AE125" s="287" t="str">
        <f t="shared" si="17"/>
        <v/>
      </c>
      <c r="AF125" s="287" t="str">
        <f t="shared" si="17"/>
        <v/>
      </c>
      <c r="AG125" s="287" t="str">
        <f t="shared" si="17"/>
        <v/>
      </c>
      <c r="AH125" s="287" t="str">
        <f t="shared" si="17"/>
        <v/>
      </c>
      <c r="AI125" s="287" t="str">
        <f t="shared" si="17"/>
        <v/>
      </c>
      <c r="AJ125" s="287" t="str">
        <f t="shared" si="17"/>
        <v/>
      </c>
      <c r="AK125" s="287" t="str">
        <f t="shared" si="17"/>
        <v/>
      </c>
      <c r="AL125" s="287" t="str">
        <f t="shared" si="17"/>
        <v/>
      </c>
      <c r="AM125" s="287" t="str">
        <f t="shared" si="17"/>
        <v/>
      </c>
      <c r="AN125" s="287" t="str">
        <f t="shared" si="17"/>
        <v/>
      </c>
      <c r="AO125" s="287" t="str">
        <f t="shared" si="17"/>
        <v/>
      </c>
      <c r="AP125" s="287" t="str">
        <f t="shared" si="17"/>
        <v/>
      </c>
      <c r="AQ125" s="287" t="str">
        <f t="shared" si="17"/>
        <v/>
      </c>
      <c r="AR125" s="287" t="str">
        <f t="shared" si="17"/>
        <v/>
      </c>
      <c r="AS125" s="287" t="str">
        <f t="shared" si="17"/>
        <v/>
      </c>
      <c r="AT125" s="287" t="str">
        <f t="shared" si="17"/>
        <v/>
      </c>
      <c r="AU125" s="287" t="str">
        <f t="shared" si="17"/>
        <v/>
      </c>
      <c r="AV125" s="287" t="str">
        <f t="shared" si="17"/>
        <v/>
      </c>
      <c r="AW125" s="287" t="str">
        <f t="shared" si="17"/>
        <v/>
      </c>
      <c r="AX125" s="287" t="str">
        <f t="shared" si="17"/>
        <v/>
      </c>
      <c r="AY125" s="287" t="str">
        <f t="shared" si="17"/>
        <v/>
      </c>
      <c r="AZ125" s="287" t="str">
        <f t="shared" si="17"/>
        <v/>
      </c>
      <c r="BA125" s="288" t="str">
        <f t="shared" si="17"/>
        <v/>
      </c>
    </row>
    <row r="126" spans="1:54" s="246" customFormat="1" ht="27" outlineLevel="1">
      <c r="A126" s="244"/>
      <c r="B126" s="244"/>
      <c r="C126" s="1"/>
      <c r="D126" s="1"/>
      <c r="E126" s="310" t="s">
        <v>593</v>
      </c>
      <c r="F126" s="100" t="s">
        <v>27</v>
      </c>
      <c r="G126" s="100" t="s">
        <v>27</v>
      </c>
      <c r="H126" s="100" t="s">
        <v>27</v>
      </c>
      <c r="I126" s="100" t="s">
        <v>27</v>
      </c>
      <c r="J126" s="100" t="s">
        <v>27</v>
      </c>
      <c r="K126" s="53" t="s">
        <v>27</v>
      </c>
      <c r="L126" s="53" t="s">
        <v>27</v>
      </c>
      <c r="M126" s="54" t="s">
        <v>27</v>
      </c>
      <c r="N126" s="286">
        <f>+IF(N$10=0,"",ROUND((N$49+N$50+N$55+N$25+N$27+N$28+N$29)/(N$11-N$15-N$111),4))</f>
        <v>0</v>
      </c>
      <c r="O126" s="287">
        <f t="shared" ref="O126:BA126" si="18">+IF(O$10=0,"",ROUND((O$49+O$50+O$55+O$25+O$27+O$28+O$29)/(O$11-O$15-O$111),4))</f>
        <v>0</v>
      </c>
      <c r="P126" s="287">
        <f t="shared" si="18"/>
        <v>0</v>
      </c>
      <c r="Q126" s="287">
        <f t="shared" si="18"/>
        <v>0</v>
      </c>
      <c r="R126" s="287">
        <f t="shared" si="18"/>
        <v>0</v>
      </c>
      <c r="S126" s="287">
        <f t="shared" si="18"/>
        <v>0</v>
      </c>
      <c r="T126" s="287">
        <f t="shared" si="18"/>
        <v>0</v>
      </c>
      <c r="U126" s="287">
        <f t="shared" si="18"/>
        <v>0</v>
      </c>
      <c r="V126" s="287">
        <f t="shared" si="18"/>
        <v>0</v>
      </c>
      <c r="W126" s="287">
        <f t="shared" si="18"/>
        <v>0</v>
      </c>
      <c r="X126" s="287">
        <f t="shared" si="18"/>
        <v>0</v>
      </c>
      <c r="Y126" s="287">
        <f t="shared" si="18"/>
        <v>0</v>
      </c>
      <c r="Z126" s="287" t="str">
        <f t="shared" si="18"/>
        <v/>
      </c>
      <c r="AA126" s="287" t="str">
        <f t="shared" si="18"/>
        <v/>
      </c>
      <c r="AB126" s="287" t="str">
        <f t="shared" si="18"/>
        <v/>
      </c>
      <c r="AC126" s="287" t="str">
        <f t="shared" si="18"/>
        <v/>
      </c>
      <c r="AD126" s="287" t="str">
        <f t="shared" si="18"/>
        <v/>
      </c>
      <c r="AE126" s="287" t="str">
        <f t="shared" si="18"/>
        <v/>
      </c>
      <c r="AF126" s="287" t="str">
        <f t="shared" si="18"/>
        <v/>
      </c>
      <c r="AG126" s="287" t="str">
        <f t="shared" si="18"/>
        <v/>
      </c>
      <c r="AH126" s="287" t="str">
        <f t="shared" si="18"/>
        <v/>
      </c>
      <c r="AI126" s="287" t="str">
        <f t="shared" si="18"/>
        <v/>
      </c>
      <c r="AJ126" s="287" t="str">
        <f t="shared" si="18"/>
        <v/>
      </c>
      <c r="AK126" s="287" t="str">
        <f t="shared" si="18"/>
        <v/>
      </c>
      <c r="AL126" s="287" t="str">
        <f t="shared" si="18"/>
        <v/>
      </c>
      <c r="AM126" s="287" t="str">
        <f t="shared" si="18"/>
        <v/>
      </c>
      <c r="AN126" s="287" t="str">
        <f t="shared" si="18"/>
        <v/>
      </c>
      <c r="AO126" s="287" t="str">
        <f t="shared" si="18"/>
        <v/>
      </c>
      <c r="AP126" s="287" t="str">
        <f t="shared" si="18"/>
        <v/>
      </c>
      <c r="AQ126" s="287" t="str">
        <f t="shared" si="18"/>
        <v/>
      </c>
      <c r="AR126" s="287" t="str">
        <f t="shared" si="18"/>
        <v/>
      </c>
      <c r="AS126" s="287" t="str">
        <f t="shared" si="18"/>
        <v/>
      </c>
      <c r="AT126" s="287" t="str">
        <f t="shared" si="18"/>
        <v/>
      </c>
      <c r="AU126" s="287" t="str">
        <f t="shared" si="18"/>
        <v/>
      </c>
      <c r="AV126" s="287" t="str">
        <f t="shared" si="18"/>
        <v/>
      </c>
      <c r="AW126" s="287" t="str">
        <f t="shared" si="18"/>
        <v/>
      </c>
      <c r="AX126" s="287" t="str">
        <f t="shared" si="18"/>
        <v/>
      </c>
      <c r="AY126" s="287" t="str">
        <f t="shared" si="18"/>
        <v/>
      </c>
      <c r="AZ126" s="287" t="str">
        <f t="shared" si="18"/>
        <v/>
      </c>
      <c r="BA126" s="288" t="str">
        <f t="shared" si="18"/>
        <v/>
      </c>
    </row>
    <row r="127" spans="1:54" s="246" customFormat="1" ht="15" outlineLevel="1">
      <c r="A127" s="244"/>
      <c r="B127" s="244"/>
      <c r="C127" s="1"/>
      <c r="D127" s="1"/>
      <c r="E127" s="289" t="s">
        <v>556</v>
      </c>
      <c r="F127" s="99" t="s">
        <v>27</v>
      </c>
      <c r="G127" s="99" t="s">
        <v>27</v>
      </c>
      <c r="H127" s="99" t="s">
        <v>27</v>
      </c>
      <c r="I127" s="99" t="s">
        <v>27</v>
      </c>
      <c r="J127" s="99" t="s">
        <v>27</v>
      </c>
      <c r="K127" s="51" t="s">
        <v>27</v>
      </c>
      <c r="L127" s="51" t="s">
        <v>27</v>
      </c>
      <c r="M127" s="52" t="s">
        <v>27</v>
      </c>
      <c r="N127" s="290">
        <f t="shared" ref="N127:BA127" si="19">+IF(N$10=0,"",ROUND(N$123-N$125-N$126,4))</f>
        <v>0.13830000000000001</v>
      </c>
      <c r="O127" s="291">
        <f t="shared" si="19"/>
        <v>7.0900000000000005E-2</v>
      </c>
      <c r="P127" s="291">
        <f t="shared" si="19"/>
        <v>6.2700000000000006E-2</v>
      </c>
      <c r="Q127" s="291">
        <f t="shared" si="19"/>
        <v>5.4899999999999997E-2</v>
      </c>
      <c r="R127" s="291">
        <f t="shared" si="19"/>
        <v>4.3400000000000001E-2</v>
      </c>
      <c r="S127" s="291">
        <f t="shared" si="19"/>
        <v>3.4700000000000002E-2</v>
      </c>
      <c r="T127" s="291">
        <f t="shared" si="19"/>
        <v>4.3799999999999999E-2</v>
      </c>
      <c r="U127" s="291">
        <f t="shared" si="19"/>
        <v>5.1900000000000002E-2</v>
      </c>
      <c r="V127" s="291">
        <f t="shared" si="19"/>
        <v>6.5000000000000002E-2</v>
      </c>
      <c r="W127" s="291">
        <f t="shared" si="19"/>
        <v>7.4800000000000005E-2</v>
      </c>
      <c r="X127" s="291">
        <f t="shared" si="19"/>
        <v>8.0399999999999999E-2</v>
      </c>
      <c r="Y127" s="291">
        <f t="shared" si="19"/>
        <v>8.9899999999999994E-2</v>
      </c>
      <c r="Z127" s="291" t="str">
        <f t="shared" si="19"/>
        <v/>
      </c>
      <c r="AA127" s="291" t="str">
        <f t="shared" si="19"/>
        <v/>
      </c>
      <c r="AB127" s="291" t="str">
        <f t="shared" si="19"/>
        <v/>
      </c>
      <c r="AC127" s="291" t="str">
        <f t="shared" si="19"/>
        <v/>
      </c>
      <c r="AD127" s="291" t="str">
        <f t="shared" si="19"/>
        <v/>
      </c>
      <c r="AE127" s="291" t="str">
        <f t="shared" si="19"/>
        <v/>
      </c>
      <c r="AF127" s="291" t="str">
        <f t="shared" si="19"/>
        <v/>
      </c>
      <c r="AG127" s="291" t="str">
        <f t="shared" si="19"/>
        <v/>
      </c>
      <c r="AH127" s="291" t="str">
        <f t="shared" si="19"/>
        <v/>
      </c>
      <c r="AI127" s="291" t="str">
        <f t="shared" si="19"/>
        <v/>
      </c>
      <c r="AJ127" s="291" t="str">
        <f t="shared" si="19"/>
        <v/>
      </c>
      <c r="AK127" s="291" t="str">
        <f t="shared" si="19"/>
        <v/>
      </c>
      <c r="AL127" s="291" t="str">
        <f t="shared" si="19"/>
        <v/>
      </c>
      <c r="AM127" s="291" t="str">
        <f t="shared" si="19"/>
        <v/>
      </c>
      <c r="AN127" s="291" t="str">
        <f t="shared" si="19"/>
        <v/>
      </c>
      <c r="AO127" s="291" t="str">
        <f t="shared" si="19"/>
        <v/>
      </c>
      <c r="AP127" s="291" t="str">
        <f t="shared" si="19"/>
        <v/>
      </c>
      <c r="AQ127" s="291" t="str">
        <f t="shared" si="19"/>
        <v/>
      </c>
      <c r="AR127" s="291" t="str">
        <f t="shared" si="19"/>
        <v/>
      </c>
      <c r="AS127" s="291" t="str">
        <f t="shared" si="19"/>
        <v/>
      </c>
      <c r="AT127" s="291" t="str">
        <f t="shared" si="19"/>
        <v/>
      </c>
      <c r="AU127" s="291" t="str">
        <f t="shared" si="19"/>
        <v/>
      </c>
      <c r="AV127" s="291" t="str">
        <f t="shared" si="19"/>
        <v/>
      </c>
      <c r="AW127" s="291" t="str">
        <f t="shared" si="19"/>
        <v/>
      </c>
      <c r="AX127" s="291" t="str">
        <f t="shared" si="19"/>
        <v/>
      </c>
      <c r="AY127" s="291" t="str">
        <f t="shared" si="19"/>
        <v/>
      </c>
      <c r="AZ127" s="291" t="str">
        <f t="shared" si="19"/>
        <v/>
      </c>
      <c r="BA127" s="292" t="str">
        <f t="shared" si="19"/>
        <v/>
      </c>
    </row>
    <row r="128" spans="1:54" s="246" customFormat="1" ht="15" outlineLevel="1">
      <c r="A128" s="244"/>
      <c r="B128" s="244"/>
      <c r="C128" s="1"/>
      <c r="D128" s="1"/>
      <c r="E128" s="293" t="s">
        <v>557</v>
      </c>
      <c r="F128" s="100" t="s">
        <v>27</v>
      </c>
      <c r="G128" s="100" t="s">
        <v>27</v>
      </c>
      <c r="H128" s="100" t="s">
        <v>27</v>
      </c>
      <c r="I128" s="100" t="s">
        <v>27</v>
      </c>
      <c r="J128" s="100" t="s">
        <v>27</v>
      </c>
      <c r="K128" s="53" t="s">
        <v>27</v>
      </c>
      <c r="L128" s="53" t="s">
        <v>27</v>
      </c>
      <c r="M128" s="54" t="s">
        <v>27</v>
      </c>
      <c r="N128" s="294">
        <f t="shared" ref="N128:BA128" si="20">+IF(N$10=0,"",ROUND(N$124-N$125-N$126,4))</f>
        <v>0.1671</v>
      </c>
      <c r="O128" s="295">
        <f t="shared" si="20"/>
        <v>9.9599999999999994E-2</v>
      </c>
      <c r="P128" s="295">
        <f t="shared" si="20"/>
        <v>9.1399999999999995E-2</v>
      </c>
      <c r="Q128" s="295">
        <f t="shared" si="20"/>
        <v>8.3699999999999997E-2</v>
      </c>
      <c r="R128" s="295">
        <f t="shared" si="20"/>
        <v>6.0400000000000002E-2</v>
      </c>
      <c r="S128" s="295">
        <f t="shared" si="20"/>
        <v>5.1700000000000003E-2</v>
      </c>
      <c r="T128" s="295">
        <f t="shared" si="20"/>
        <v>6.08E-2</v>
      </c>
      <c r="U128" s="295">
        <f t="shared" si="20"/>
        <v>5.1900000000000002E-2</v>
      </c>
      <c r="V128" s="295">
        <f t="shared" si="20"/>
        <v>6.5000000000000002E-2</v>
      </c>
      <c r="W128" s="295">
        <f t="shared" si="20"/>
        <v>7.4800000000000005E-2</v>
      </c>
      <c r="X128" s="295">
        <f t="shared" si="20"/>
        <v>8.0399999999999999E-2</v>
      </c>
      <c r="Y128" s="295">
        <f t="shared" si="20"/>
        <v>8.9899999999999994E-2</v>
      </c>
      <c r="Z128" s="295" t="str">
        <f t="shared" si="20"/>
        <v/>
      </c>
      <c r="AA128" s="295" t="str">
        <f t="shared" si="20"/>
        <v/>
      </c>
      <c r="AB128" s="295" t="str">
        <f t="shared" si="20"/>
        <v/>
      </c>
      <c r="AC128" s="295" t="str">
        <f t="shared" si="20"/>
        <v/>
      </c>
      <c r="AD128" s="295" t="str">
        <f t="shared" si="20"/>
        <v/>
      </c>
      <c r="AE128" s="295" t="str">
        <f t="shared" si="20"/>
        <v/>
      </c>
      <c r="AF128" s="295" t="str">
        <f t="shared" si="20"/>
        <v/>
      </c>
      <c r="AG128" s="295" t="str">
        <f t="shared" si="20"/>
        <v/>
      </c>
      <c r="AH128" s="295" t="str">
        <f t="shared" si="20"/>
        <v/>
      </c>
      <c r="AI128" s="295" t="str">
        <f t="shared" si="20"/>
        <v/>
      </c>
      <c r="AJ128" s="295" t="str">
        <f t="shared" si="20"/>
        <v/>
      </c>
      <c r="AK128" s="295" t="str">
        <f t="shared" si="20"/>
        <v/>
      </c>
      <c r="AL128" s="295" t="str">
        <f t="shared" si="20"/>
        <v/>
      </c>
      <c r="AM128" s="295" t="str">
        <f t="shared" si="20"/>
        <v/>
      </c>
      <c r="AN128" s="295" t="str">
        <f t="shared" si="20"/>
        <v/>
      </c>
      <c r="AO128" s="295" t="str">
        <f t="shared" si="20"/>
        <v/>
      </c>
      <c r="AP128" s="295" t="str">
        <f t="shared" si="20"/>
        <v/>
      </c>
      <c r="AQ128" s="295" t="str">
        <f t="shared" si="20"/>
        <v/>
      </c>
      <c r="AR128" s="295" t="str">
        <f t="shared" si="20"/>
        <v/>
      </c>
      <c r="AS128" s="295" t="str">
        <f t="shared" si="20"/>
        <v/>
      </c>
      <c r="AT128" s="295" t="str">
        <f t="shared" si="20"/>
        <v/>
      </c>
      <c r="AU128" s="295" t="str">
        <f t="shared" si="20"/>
        <v/>
      </c>
      <c r="AV128" s="295" t="str">
        <f t="shared" si="20"/>
        <v/>
      </c>
      <c r="AW128" s="295" t="str">
        <f t="shared" si="20"/>
        <v/>
      </c>
      <c r="AX128" s="295" t="str">
        <f t="shared" si="20"/>
        <v/>
      </c>
      <c r="AY128" s="295" t="str">
        <f t="shared" si="20"/>
        <v/>
      </c>
      <c r="AZ128" s="295" t="str">
        <f t="shared" si="20"/>
        <v/>
      </c>
      <c r="BA128" s="296" t="str">
        <f t="shared" si="20"/>
        <v/>
      </c>
    </row>
    <row r="129" spans="1:53" s="246" customFormat="1">
      <c r="A129" s="244"/>
      <c r="B129" s="244"/>
      <c r="C129" s="311"/>
      <c r="D129" s="311"/>
      <c r="E129" s="28"/>
      <c r="F129" s="28"/>
      <c r="G129" s="28"/>
      <c r="H129" s="28"/>
      <c r="I129" s="28"/>
      <c r="J129" s="312"/>
      <c r="K129" s="312"/>
      <c r="L129" s="312"/>
      <c r="M129" s="312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246" customFormat="1" ht="15">
      <c r="A130" s="244"/>
      <c r="B130" s="244"/>
      <c r="C130" s="1"/>
      <c r="D130" s="313"/>
      <c r="E130" s="224" t="s">
        <v>594</v>
      </c>
      <c r="F130" s="224"/>
      <c r="G130" s="224"/>
      <c r="H130" s="224"/>
      <c r="I130" s="224"/>
      <c r="J130" s="314"/>
      <c r="K130" s="314"/>
      <c r="L130" s="314"/>
      <c r="M130" s="312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246" customFormat="1" outlineLevel="1">
      <c r="A131" s="244"/>
      <c r="B131" s="244"/>
      <c r="C131" s="315"/>
      <c r="D131" s="315"/>
      <c r="E131" s="316" t="s">
        <v>157</v>
      </c>
      <c r="F131" s="312"/>
      <c r="G131" s="312"/>
      <c r="H131" s="312"/>
      <c r="I131" s="312"/>
      <c r="J131" s="312"/>
      <c r="K131" s="312"/>
      <c r="L131" s="312"/>
      <c r="M131" s="312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246" customFormat="1" outlineLevel="1">
      <c r="A132" s="244"/>
      <c r="B132" s="244"/>
      <c r="C132" s="315"/>
      <c r="D132" s="315"/>
      <c r="E132" s="317" t="s">
        <v>158</v>
      </c>
      <c r="F132" s="312"/>
      <c r="G132" s="312"/>
      <c r="H132" s="312"/>
      <c r="I132" s="312"/>
      <c r="J132" s="312"/>
      <c r="K132" s="312"/>
      <c r="L132" s="312"/>
      <c r="M132" s="312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246" customFormat="1" outlineLevel="1">
      <c r="A133" s="244"/>
      <c r="B133" s="244"/>
      <c r="C133" s="315"/>
      <c r="D133" s="315"/>
      <c r="E133" s="318" t="s">
        <v>148</v>
      </c>
      <c r="F133" s="312"/>
      <c r="G133" s="312"/>
      <c r="H133" s="312"/>
      <c r="I133" s="312"/>
      <c r="J133" s="312"/>
      <c r="K133" s="312"/>
      <c r="L133" s="312"/>
      <c r="M133" s="312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246" customFormat="1" outlineLevel="1">
      <c r="A134" s="244"/>
      <c r="B134" s="244"/>
      <c r="C134" s="315"/>
      <c r="D134" s="315"/>
      <c r="E134" s="319" t="s">
        <v>533</v>
      </c>
      <c r="F134" s="312"/>
      <c r="G134" s="312"/>
      <c r="H134" s="312"/>
      <c r="I134" s="312"/>
      <c r="J134" s="312"/>
      <c r="K134" s="312"/>
      <c r="L134" s="312"/>
      <c r="M134" s="312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246" customFormat="1" outlineLevel="1">
      <c r="A135" s="244"/>
      <c r="B135" s="244"/>
      <c r="C135" s="320"/>
      <c r="D135" s="320"/>
      <c r="E135" s="321" t="s">
        <v>162</v>
      </c>
      <c r="F135" s="501"/>
      <c r="G135" s="501"/>
      <c r="H135" s="501"/>
      <c r="I135" s="501"/>
      <c r="J135" s="312"/>
      <c r="K135" s="312"/>
      <c r="L135" s="312"/>
      <c r="M135" s="312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246" customFormat="1" ht="27" outlineLevel="1">
      <c r="A136" s="244"/>
      <c r="B136" s="244"/>
      <c r="C136" s="47" t="s">
        <v>104</v>
      </c>
      <c r="D136" s="120" t="s">
        <v>385</v>
      </c>
      <c r="E136" s="322" t="s">
        <v>673</v>
      </c>
      <c r="F136" s="323" t="s">
        <v>27</v>
      </c>
      <c r="G136" s="55" t="s">
        <v>27</v>
      </c>
      <c r="H136" s="55" t="s">
        <v>27</v>
      </c>
      <c r="I136" s="55" t="s">
        <v>27</v>
      </c>
      <c r="J136" s="55" t="s">
        <v>27</v>
      </c>
      <c r="K136" s="55" t="s">
        <v>27</v>
      </c>
      <c r="L136" s="55" t="s">
        <v>27</v>
      </c>
      <c r="M136" s="324" t="s">
        <v>27</v>
      </c>
      <c r="N136" s="325" t="str">
        <f t="shared" ref="N136:BA136" si="21">IF(ROUND(N61,2)&gt;=0,"TAK","NIE")</f>
        <v>TAK</v>
      </c>
      <c r="O136" s="45" t="str">
        <f t="shared" si="21"/>
        <v>TAK</v>
      </c>
      <c r="P136" s="45" t="str">
        <f t="shared" si="21"/>
        <v>TAK</v>
      </c>
      <c r="Q136" s="45" t="str">
        <f t="shared" si="21"/>
        <v>TAK</v>
      </c>
      <c r="R136" s="45" t="str">
        <f t="shared" si="21"/>
        <v>TAK</v>
      </c>
      <c r="S136" s="45" t="str">
        <f t="shared" si="21"/>
        <v>TAK</v>
      </c>
      <c r="T136" s="45" t="str">
        <f t="shared" si="21"/>
        <v>TAK</v>
      </c>
      <c r="U136" s="45" t="str">
        <f t="shared" si="21"/>
        <v>TAK</v>
      </c>
      <c r="V136" s="45" t="str">
        <f t="shared" si="21"/>
        <v>TAK</v>
      </c>
      <c r="W136" s="45" t="str">
        <f t="shared" si="21"/>
        <v>TAK</v>
      </c>
      <c r="X136" s="45" t="str">
        <f t="shared" si="21"/>
        <v>TAK</v>
      </c>
      <c r="Y136" s="45" t="str">
        <f t="shared" si="21"/>
        <v>TAK</v>
      </c>
      <c r="Z136" s="45" t="str">
        <f t="shared" si="21"/>
        <v>TAK</v>
      </c>
      <c r="AA136" s="45" t="str">
        <f t="shared" si="21"/>
        <v>TAK</v>
      </c>
      <c r="AB136" s="45" t="str">
        <f t="shared" si="21"/>
        <v>TAK</v>
      </c>
      <c r="AC136" s="45" t="str">
        <f t="shared" si="21"/>
        <v>TAK</v>
      </c>
      <c r="AD136" s="45" t="str">
        <f t="shared" si="21"/>
        <v>TAK</v>
      </c>
      <c r="AE136" s="45" t="str">
        <f t="shared" si="21"/>
        <v>TAK</v>
      </c>
      <c r="AF136" s="45" t="str">
        <f t="shared" si="21"/>
        <v>TAK</v>
      </c>
      <c r="AG136" s="45" t="str">
        <f t="shared" si="21"/>
        <v>TAK</v>
      </c>
      <c r="AH136" s="45" t="str">
        <f t="shared" si="21"/>
        <v>TAK</v>
      </c>
      <c r="AI136" s="45" t="str">
        <f t="shared" si="21"/>
        <v>TAK</v>
      </c>
      <c r="AJ136" s="45" t="str">
        <f t="shared" si="21"/>
        <v>TAK</v>
      </c>
      <c r="AK136" s="45" t="str">
        <f t="shared" si="21"/>
        <v>TAK</v>
      </c>
      <c r="AL136" s="45" t="str">
        <f t="shared" si="21"/>
        <v>TAK</v>
      </c>
      <c r="AM136" s="45" t="str">
        <f t="shared" si="21"/>
        <v>TAK</v>
      </c>
      <c r="AN136" s="45" t="str">
        <f t="shared" si="21"/>
        <v>TAK</v>
      </c>
      <c r="AO136" s="45" t="str">
        <f t="shared" si="21"/>
        <v>TAK</v>
      </c>
      <c r="AP136" s="45" t="str">
        <f t="shared" si="21"/>
        <v>TAK</v>
      </c>
      <c r="AQ136" s="45" t="str">
        <f t="shared" si="21"/>
        <v>TAK</v>
      </c>
      <c r="AR136" s="45" t="str">
        <f t="shared" si="21"/>
        <v>TAK</v>
      </c>
      <c r="AS136" s="45" t="str">
        <f t="shared" si="21"/>
        <v>TAK</v>
      </c>
      <c r="AT136" s="45" t="str">
        <f t="shared" si="21"/>
        <v>TAK</v>
      </c>
      <c r="AU136" s="45" t="str">
        <f t="shared" si="21"/>
        <v>TAK</v>
      </c>
      <c r="AV136" s="45" t="str">
        <f t="shared" si="21"/>
        <v>TAK</v>
      </c>
      <c r="AW136" s="45" t="str">
        <f t="shared" si="21"/>
        <v>TAK</v>
      </c>
      <c r="AX136" s="45" t="str">
        <f t="shared" si="21"/>
        <v>TAK</v>
      </c>
      <c r="AY136" s="45" t="str">
        <f t="shared" si="21"/>
        <v>TAK</v>
      </c>
      <c r="AZ136" s="45" t="str">
        <f t="shared" si="21"/>
        <v>TAK</v>
      </c>
      <c r="BA136" s="46" t="str">
        <f t="shared" si="21"/>
        <v>TAK</v>
      </c>
    </row>
    <row r="137" spans="1:53" s="246" customFormat="1" outlineLevel="1">
      <c r="A137" s="244"/>
      <c r="B137" s="244"/>
      <c r="C137" s="241" t="s">
        <v>103</v>
      </c>
      <c r="D137" s="121" t="s">
        <v>103</v>
      </c>
      <c r="E137" s="240" t="s">
        <v>145</v>
      </c>
      <c r="F137" s="326" t="s">
        <v>27</v>
      </c>
      <c r="G137" s="242" t="s">
        <v>27</v>
      </c>
      <c r="H137" s="242" t="s">
        <v>27</v>
      </c>
      <c r="I137" s="242" t="s">
        <v>27</v>
      </c>
      <c r="J137" s="242" t="s">
        <v>27</v>
      </c>
      <c r="K137" s="242" t="s">
        <v>27</v>
      </c>
      <c r="L137" s="242" t="s">
        <v>27</v>
      </c>
      <c r="M137" s="327" t="s">
        <v>27</v>
      </c>
      <c r="N137" s="328" t="str">
        <f t="shared" ref="N137:BA137" si="22">IF(ROUND(N10+N35-N21-N46,2)=0,"OK",ROUND(N10+N35-N21-N46,2))</f>
        <v>OK</v>
      </c>
      <c r="O137" s="329" t="str">
        <f t="shared" si="22"/>
        <v>OK</v>
      </c>
      <c r="P137" s="329" t="str">
        <f t="shared" si="22"/>
        <v>OK</v>
      </c>
      <c r="Q137" s="329" t="str">
        <f t="shared" si="22"/>
        <v>OK</v>
      </c>
      <c r="R137" s="329" t="str">
        <f t="shared" si="22"/>
        <v>OK</v>
      </c>
      <c r="S137" s="329" t="str">
        <f t="shared" si="22"/>
        <v>OK</v>
      </c>
      <c r="T137" s="329" t="str">
        <f t="shared" si="22"/>
        <v>OK</v>
      </c>
      <c r="U137" s="329" t="str">
        <f t="shared" si="22"/>
        <v>OK</v>
      </c>
      <c r="V137" s="329" t="str">
        <f t="shared" si="22"/>
        <v>OK</v>
      </c>
      <c r="W137" s="329" t="str">
        <f t="shared" si="22"/>
        <v>OK</v>
      </c>
      <c r="X137" s="329" t="str">
        <f t="shared" si="22"/>
        <v>OK</v>
      </c>
      <c r="Y137" s="329" t="str">
        <f t="shared" si="22"/>
        <v>OK</v>
      </c>
      <c r="Z137" s="329" t="str">
        <f t="shared" si="22"/>
        <v>OK</v>
      </c>
      <c r="AA137" s="329" t="str">
        <f t="shared" si="22"/>
        <v>OK</v>
      </c>
      <c r="AB137" s="329" t="str">
        <f t="shared" si="22"/>
        <v>OK</v>
      </c>
      <c r="AC137" s="329" t="str">
        <f t="shared" si="22"/>
        <v>OK</v>
      </c>
      <c r="AD137" s="329" t="str">
        <f t="shared" si="22"/>
        <v>OK</v>
      </c>
      <c r="AE137" s="329" t="str">
        <f t="shared" si="22"/>
        <v>OK</v>
      </c>
      <c r="AF137" s="329" t="str">
        <f t="shared" si="22"/>
        <v>OK</v>
      </c>
      <c r="AG137" s="329" t="str">
        <f t="shared" si="22"/>
        <v>OK</v>
      </c>
      <c r="AH137" s="329" t="str">
        <f t="shared" si="22"/>
        <v>OK</v>
      </c>
      <c r="AI137" s="329" t="str">
        <f t="shared" si="22"/>
        <v>OK</v>
      </c>
      <c r="AJ137" s="329" t="str">
        <f t="shared" si="22"/>
        <v>OK</v>
      </c>
      <c r="AK137" s="329" t="str">
        <f t="shared" si="22"/>
        <v>OK</v>
      </c>
      <c r="AL137" s="329" t="str">
        <f t="shared" si="22"/>
        <v>OK</v>
      </c>
      <c r="AM137" s="329" t="str">
        <f t="shared" si="22"/>
        <v>OK</v>
      </c>
      <c r="AN137" s="329" t="str">
        <f t="shared" si="22"/>
        <v>OK</v>
      </c>
      <c r="AO137" s="329" t="str">
        <f t="shared" si="22"/>
        <v>OK</v>
      </c>
      <c r="AP137" s="329" t="str">
        <f t="shared" si="22"/>
        <v>OK</v>
      </c>
      <c r="AQ137" s="329" t="str">
        <f t="shared" si="22"/>
        <v>OK</v>
      </c>
      <c r="AR137" s="329" t="str">
        <f t="shared" si="22"/>
        <v>OK</v>
      </c>
      <c r="AS137" s="329" t="str">
        <f t="shared" si="22"/>
        <v>OK</v>
      </c>
      <c r="AT137" s="329" t="str">
        <f t="shared" si="22"/>
        <v>OK</v>
      </c>
      <c r="AU137" s="329" t="str">
        <f t="shared" si="22"/>
        <v>OK</v>
      </c>
      <c r="AV137" s="329" t="str">
        <f t="shared" si="22"/>
        <v>OK</v>
      </c>
      <c r="AW137" s="329" t="str">
        <f t="shared" si="22"/>
        <v>OK</v>
      </c>
      <c r="AX137" s="329" t="str">
        <f t="shared" si="22"/>
        <v>OK</v>
      </c>
      <c r="AY137" s="329" t="str">
        <f t="shared" si="22"/>
        <v>OK</v>
      </c>
      <c r="AZ137" s="329" t="str">
        <f t="shared" si="22"/>
        <v>OK</v>
      </c>
      <c r="BA137" s="330" t="str">
        <f t="shared" si="22"/>
        <v>OK</v>
      </c>
    </row>
    <row r="138" spans="1:53" s="246" customFormat="1" outlineLevel="1">
      <c r="A138" s="244"/>
      <c r="B138" s="244"/>
      <c r="C138" s="235" t="s">
        <v>163</v>
      </c>
      <c r="D138" s="122" t="s">
        <v>384</v>
      </c>
      <c r="E138" s="240" t="s">
        <v>595</v>
      </c>
      <c r="F138" s="326" t="s">
        <v>27</v>
      </c>
      <c r="G138" s="331" t="str">
        <f t="shared" ref="G138:L138" si="23">+IF(ROUND(F57+G36-G47+(G58-F58)+G105-G57,2)=0,"OK",ROUND(F57+G36-G47+(G58-F58)+G105-G57,2))</f>
        <v>OK</v>
      </c>
      <c r="H138" s="331" t="str">
        <f t="shared" si="23"/>
        <v>OK</v>
      </c>
      <c r="I138" s="331" t="str">
        <f t="shared" si="23"/>
        <v>OK</v>
      </c>
      <c r="J138" s="331">
        <f t="shared" si="23"/>
        <v>-11915000</v>
      </c>
      <c r="K138" s="331" t="str">
        <f t="shared" si="23"/>
        <v>OK</v>
      </c>
      <c r="L138" s="331" t="str">
        <f t="shared" si="23"/>
        <v>OK</v>
      </c>
      <c r="M138" s="332" t="str">
        <f>+IF(ROUND(K57+M36-M47+(M58-K58)+M105-M57,2)=0,"OK",ROUND(K57+M36-M47+(M58-K58)+M105-M57,2))</f>
        <v>OK</v>
      </c>
      <c r="N138" s="328" t="str">
        <f t="shared" ref="N138:BA138" si="24">+IF(ROUND(M57+N36-N47+(N58-M58)+N105-N57,2)=0,"OK",ROUND(M57+N36-N47+(N58-M58)+N105-N57,2))</f>
        <v>OK</v>
      </c>
      <c r="O138" s="329" t="str">
        <f t="shared" si="24"/>
        <v>OK</v>
      </c>
      <c r="P138" s="329" t="str">
        <f t="shared" si="24"/>
        <v>OK</v>
      </c>
      <c r="Q138" s="329" t="str">
        <f t="shared" si="24"/>
        <v>OK</v>
      </c>
      <c r="R138" s="329" t="str">
        <f t="shared" si="24"/>
        <v>OK</v>
      </c>
      <c r="S138" s="329" t="str">
        <f t="shared" si="24"/>
        <v>OK</v>
      </c>
      <c r="T138" s="329" t="str">
        <f t="shared" si="24"/>
        <v>OK</v>
      </c>
      <c r="U138" s="329" t="str">
        <f t="shared" si="24"/>
        <v>OK</v>
      </c>
      <c r="V138" s="329" t="str">
        <f t="shared" si="24"/>
        <v>OK</v>
      </c>
      <c r="W138" s="329" t="str">
        <f t="shared" si="24"/>
        <v>OK</v>
      </c>
      <c r="X138" s="329" t="str">
        <f t="shared" si="24"/>
        <v>OK</v>
      </c>
      <c r="Y138" s="329" t="str">
        <f t="shared" si="24"/>
        <v>OK</v>
      </c>
      <c r="Z138" s="329" t="str">
        <f t="shared" si="24"/>
        <v>OK</v>
      </c>
      <c r="AA138" s="329" t="str">
        <f t="shared" si="24"/>
        <v>OK</v>
      </c>
      <c r="AB138" s="329" t="str">
        <f t="shared" si="24"/>
        <v>OK</v>
      </c>
      <c r="AC138" s="329" t="str">
        <f t="shared" si="24"/>
        <v>OK</v>
      </c>
      <c r="AD138" s="329" t="str">
        <f t="shared" si="24"/>
        <v>OK</v>
      </c>
      <c r="AE138" s="329" t="str">
        <f t="shared" si="24"/>
        <v>OK</v>
      </c>
      <c r="AF138" s="329" t="str">
        <f t="shared" si="24"/>
        <v>OK</v>
      </c>
      <c r="AG138" s="329" t="str">
        <f t="shared" si="24"/>
        <v>OK</v>
      </c>
      <c r="AH138" s="329" t="str">
        <f t="shared" si="24"/>
        <v>OK</v>
      </c>
      <c r="AI138" s="329" t="str">
        <f t="shared" si="24"/>
        <v>OK</v>
      </c>
      <c r="AJ138" s="329" t="str">
        <f t="shared" si="24"/>
        <v>OK</v>
      </c>
      <c r="AK138" s="329" t="str">
        <f t="shared" si="24"/>
        <v>OK</v>
      </c>
      <c r="AL138" s="329" t="str">
        <f t="shared" si="24"/>
        <v>OK</v>
      </c>
      <c r="AM138" s="329" t="str">
        <f t="shared" si="24"/>
        <v>OK</v>
      </c>
      <c r="AN138" s="329" t="str">
        <f t="shared" si="24"/>
        <v>OK</v>
      </c>
      <c r="AO138" s="329" t="str">
        <f t="shared" si="24"/>
        <v>OK</v>
      </c>
      <c r="AP138" s="329" t="str">
        <f t="shared" si="24"/>
        <v>OK</v>
      </c>
      <c r="AQ138" s="329" t="str">
        <f t="shared" si="24"/>
        <v>OK</v>
      </c>
      <c r="AR138" s="329" t="str">
        <f t="shared" si="24"/>
        <v>OK</v>
      </c>
      <c r="AS138" s="329" t="str">
        <f t="shared" si="24"/>
        <v>OK</v>
      </c>
      <c r="AT138" s="329" t="str">
        <f t="shared" si="24"/>
        <v>OK</v>
      </c>
      <c r="AU138" s="329" t="str">
        <f t="shared" si="24"/>
        <v>OK</v>
      </c>
      <c r="AV138" s="329" t="str">
        <f t="shared" si="24"/>
        <v>OK</v>
      </c>
      <c r="AW138" s="329" t="str">
        <f t="shared" si="24"/>
        <v>OK</v>
      </c>
      <c r="AX138" s="329" t="str">
        <f t="shared" si="24"/>
        <v>OK</v>
      </c>
      <c r="AY138" s="329" t="str">
        <f t="shared" si="24"/>
        <v>OK</v>
      </c>
      <c r="AZ138" s="329" t="str">
        <f t="shared" si="24"/>
        <v>OK</v>
      </c>
      <c r="BA138" s="330" t="str">
        <f t="shared" si="24"/>
        <v>OK</v>
      </c>
    </row>
    <row r="139" spans="1:53" s="246" customFormat="1" ht="54" outlineLevel="1">
      <c r="A139" s="244"/>
      <c r="B139" s="244"/>
      <c r="C139" s="235" t="s">
        <v>164</v>
      </c>
      <c r="D139" s="122" t="s">
        <v>406</v>
      </c>
      <c r="E139" s="240" t="s">
        <v>559</v>
      </c>
      <c r="F139" s="333" t="s">
        <v>27</v>
      </c>
      <c r="G139" s="242" t="s">
        <v>27</v>
      </c>
      <c r="H139" s="242" t="s">
        <v>27</v>
      </c>
      <c r="I139" s="242" t="s">
        <v>27</v>
      </c>
      <c r="J139" s="242" t="s">
        <v>27</v>
      </c>
      <c r="K139" s="242" t="s">
        <v>27</v>
      </c>
      <c r="L139" s="242" t="s">
        <v>27</v>
      </c>
      <c r="M139" s="327" t="s">
        <v>27</v>
      </c>
      <c r="N139" s="328" t="str">
        <f t="shared" ref="N139:BA139" si="25">+IF(ROUND(N58+N99-M58,2)=0,"OK",ROUND(N58+N99-M58,2))</f>
        <v>OK</v>
      </c>
      <c r="O139" s="329" t="str">
        <f t="shared" si="25"/>
        <v>OK</v>
      </c>
      <c r="P139" s="329" t="str">
        <f t="shared" si="25"/>
        <v>OK</v>
      </c>
      <c r="Q139" s="329" t="str">
        <f t="shared" si="25"/>
        <v>OK</v>
      </c>
      <c r="R139" s="329" t="str">
        <f t="shared" si="25"/>
        <v>OK</v>
      </c>
      <c r="S139" s="329" t="str">
        <f t="shared" si="25"/>
        <v>OK</v>
      </c>
      <c r="T139" s="329" t="str">
        <f t="shared" si="25"/>
        <v>OK</v>
      </c>
      <c r="U139" s="329" t="str">
        <f t="shared" si="25"/>
        <v>OK</v>
      </c>
      <c r="V139" s="329" t="str">
        <f t="shared" si="25"/>
        <v>OK</v>
      </c>
      <c r="W139" s="329" t="str">
        <f t="shared" si="25"/>
        <v>OK</v>
      </c>
      <c r="X139" s="329" t="str">
        <f t="shared" si="25"/>
        <v>OK</v>
      </c>
      <c r="Y139" s="329" t="str">
        <f t="shared" si="25"/>
        <v>OK</v>
      </c>
      <c r="Z139" s="329" t="str">
        <f t="shared" si="25"/>
        <v>OK</v>
      </c>
      <c r="AA139" s="329" t="str">
        <f t="shared" si="25"/>
        <v>OK</v>
      </c>
      <c r="AB139" s="329" t="str">
        <f t="shared" si="25"/>
        <v>OK</v>
      </c>
      <c r="AC139" s="329" t="str">
        <f t="shared" si="25"/>
        <v>OK</v>
      </c>
      <c r="AD139" s="329" t="str">
        <f t="shared" si="25"/>
        <v>OK</v>
      </c>
      <c r="AE139" s="329" t="str">
        <f t="shared" si="25"/>
        <v>OK</v>
      </c>
      <c r="AF139" s="329" t="str">
        <f t="shared" si="25"/>
        <v>OK</v>
      </c>
      <c r="AG139" s="329" t="str">
        <f t="shared" si="25"/>
        <v>OK</v>
      </c>
      <c r="AH139" s="329" t="str">
        <f t="shared" si="25"/>
        <v>OK</v>
      </c>
      <c r="AI139" s="329" t="str">
        <f t="shared" si="25"/>
        <v>OK</v>
      </c>
      <c r="AJ139" s="329" t="str">
        <f t="shared" si="25"/>
        <v>OK</v>
      </c>
      <c r="AK139" s="329" t="str">
        <f t="shared" si="25"/>
        <v>OK</v>
      </c>
      <c r="AL139" s="329" t="str">
        <f t="shared" si="25"/>
        <v>OK</v>
      </c>
      <c r="AM139" s="329" t="str">
        <f t="shared" si="25"/>
        <v>OK</v>
      </c>
      <c r="AN139" s="329" t="str">
        <f t="shared" si="25"/>
        <v>OK</v>
      </c>
      <c r="AO139" s="329" t="str">
        <f t="shared" si="25"/>
        <v>OK</v>
      </c>
      <c r="AP139" s="329" t="str">
        <f t="shared" si="25"/>
        <v>OK</v>
      </c>
      <c r="AQ139" s="329" t="str">
        <f t="shared" si="25"/>
        <v>OK</v>
      </c>
      <c r="AR139" s="329" t="str">
        <f t="shared" si="25"/>
        <v>OK</v>
      </c>
      <c r="AS139" s="329" t="str">
        <f t="shared" si="25"/>
        <v>OK</v>
      </c>
      <c r="AT139" s="329" t="str">
        <f t="shared" si="25"/>
        <v>OK</v>
      </c>
      <c r="AU139" s="329" t="str">
        <f t="shared" si="25"/>
        <v>OK</v>
      </c>
      <c r="AV139" s="329" t="str">
        <f t="shared" si="25"/>
        <v>OK</v>
      </c>
      <c r="AW139" s="329" t="str">
        <f t="shared" si="25"/>
        <v>OK</v>
      </c>
      <c r="AX139" s="329" t="str">
        <f t="shared" si="25"/>
        <v>OK</v>
      </c>
      <c r="AY139" s="329" t="str">
        <f t="shared" si="25"/>
        <v>OK</v>
      </c>
      <c r="AZ139" s="329" t="str">
        <f t="shared" si="25"/>
        <v>OK</v>
      </c>
      <c r="BA139" s="330" t="str">
        <f t="shared" si="25"/>
        <v>OK</v>
      </c>
    </row>
    <row r="140" spans="1:53" s="246" customFormat="1" ht="40.5" outlineLevel="1">
      <c r="A140" s="244"/>
      <c r="B140" s="244"/>
      <c r="C140" s="241" t="s">
        <v>119</v>
      </c>
      <c r="D140" s="121" t="s">
        <v>416</v>
      </c>
      <c r="E140" s="240" t="s">
        <v>530</v>
      </c>
      <c r="F140" s="326" t="s">
        <v>27</v>
      </c>
      <c r="G140" s="242" t="s">
        <v>27</v>
      </c>
      <c r="H140" s="242" t="s">
        <v>27</v>
      </c>
      <c r="I140" s="242" t="s">
        <v>27</v>
      </c>
      <c r="J140" s="242" t="s">
        <v>27</v>
      </c>
      <c r="K140" s="242" t="s">
        <v>27</v>
      </c>
      <c r="L140" s="242" t="s">
        <v>27</v>
      </c>
      <c r="M140" s="327" t="s">
        <v>27</v>
      </c>
      <c r="N140" s="328" t="str">
        <f t="shared" ref="N140:BA140" si="26">IF(ROUND(N99-SUM(N100:N101,N104),2)=0,"OK",ROUND(N99-SUM(N100:N101,N104),2))</f>
        <v>OK</v>
      </c>
      <c r="O140" s="43" t="str">
        <f t="shared" si="26"/>
        <v>OK</v>
      </c>
      <c r="P140" s="43" t="str">
        <f t="shared" si="26"/>
        <v>OK</v>
      </c>
      <c r="Q140" s="43" t="str">
        <f t="shared" si="26"/>
        <v>OK</v>
      </c>
      <c r="R140" s="43" t="str">
        <f t="shared" si="26"/>
        <v>OK</v>
      </c>
      <c r="S140" s="43" t="str">
        <f t="shared" si="26"/>
        <v>OK</v>
      </c>
      <c r="T140" s="43" t="str">
        <f t="shared" si="26"/>
        <v>OK</v>
      </c>
      <c r="U140" s="43" t="str">
        <f t="shared" si="26"/>
        <v>OK</v>
      </c>
      <c r="V140" s="43" t="str">
        <f t="shared" si="26"/>
        <v>OK</v>
      </c>
      <c r="W140" s="43" t="str">
        <f t="shared" si="26"/>
        <v>OK</v>
      </c>
      <c r="X140" s="43" t="str">
        <f t="shared" si="26"/>
        <v>OK</v>
      </c>
      <c r="Y140" s="43" t="str">
        <f t="shared" si="26"/>
        <v>OK</v>
      </c>
      <c r="Z140" s="43" t="str">
        <f t="shared" si="26"/>
        <v>OK</v>
      </c>
      <c r="AA140" s="43" t="str">
        <f t="shared" si="26"/>
        <v>OK</v>
      </c>
      <c r="AB140" s="43" t="str">
        <f t="shared" si="26"/>
        <v>OK</v>
      </c>
      <c r="AC140" s="43" t="str">
        <f t="shared" si="26"/>
        <v>OK</v>
      </c>
      <c r="AD140" s="43" t="str">
        <f t="shared" si="26"/>
        <v>OK</v>
      </c>
      <c r="AE140" s="43" t="str">
        <f t="shared" si="26"/>
        <v>OK</v>
      </c>
      <c r="AF140" s="43" t="str">
        <f t="shared" si="26"/>
        <v>OK</v>
      </c>
      <c r="AG140" s="43" t="str">
        <f t="shared" si="26"/>
        <v>OK</v>
      </c>
      <c r="AH140" s="43" t="str">
        <f t="shared" si="26"/>
        <v>OK</v>
      </c>
      <c r="AI140" s="43" t="str">
        <f t="shared" si="26"/>
        <v>OK</v>
      </c>
      <c r="AJ140" s="43" t="str">
        <f t="shared" si="26"/>
        <v>OK</v>
      </c>
      <c r="AK140" s="43" t="str">
        <f t="shared" si="26"/>
        <v>OK</v>
      </c>
      <c r="AL140" s="43" t="str">
        <f t="shared" si="26"/>
        <v>OK</v>
      </c>
      <c r="AM140" s="43" t="str">
        <f t="shared" si="26"/>
        <v>OK</v>
      </c>
      <c r="AN140" s="43" t="str">
        <f t="shared" si="26"/>
        <v>OK</v>
      </c>
      <c r="AO140" s="43" t="str">
        <f t="shared" si="26"/>
        <v>OK</v>
      </c>
      <c r="AP140" s="43" t="str">
        <f t="shared" si="26"/>
        <v>OK</v>
      </c>
      <c r="AQ140" s="43" t="str">
        <f t="shared" si="26"/>
        <v>OK</v>
      </c>
      <c r="AR140" s="43" t="str">
        <f t="shared" si="26"/>
        <v>OK</v>
      </c>
      <c r="AS140" s="43" t="str">
        <f t="shared" si="26"/>
        <v>OK</v>
      </c>
      <c r="AT140" s="43" t="str">
        <f t="shared" si="26"/>
        <v>OK</v>
      </c>
      <c r="AU140" s="43" t="str">
        <f t="shared" si="26"/>
        <v>OK</v>
      </c>
      <c r="AV140" s="43" t="str">
        <f t="shared" si="26"/>
        <v>OK</v>
      </c>
      <c r="AW140" s="43" t="str">
        <f t="shared" si="26"/>
        <v>OK</v>
      </c>
      <c r="AX140" s="43" t="str">
        <f t="shared" si="26"/>
        <v>OK</v>
      </c>
      <c r="AY140" s="43" t="str">
        <f t="shared" si="26"/>
        <v>OK</v>
      </c>
      <c r="AZ140" s="43" t="str">
        <f t="shared" si="26"/>
        <v>OK</v>
      </c>
      <c r="BA140" s="44" t="str">
        <f t="shared" si="26"/>
        <v>OK</v>
      </c>
    </row>
    <row r="141" spans="1:53" s="246" customFormat="1" outlineLevel="1">
      <c r="A141" s="244"/>
      <c r="B141" s="244"/>
      <c r="C141" s="241" t="s">
        <v>119</v>
      </c>
      <c r="D141" s="121" t="s">
        <v>417</v>
      </c>
      <c r="E141" s="245" t="s">
        <v>446</v>
      </c>
      <c r="F141" s="326" t="s">
        <v>27</v>
      </c>
      <c r="G141" s="242" t="s">
        <v>27</v>
      </c>
      <c r="H141" s="242" t="s">
        <v>27</v>
      </c>
      <c r="I141" s="242" t="s">
        <v>27</v>
      </c>
      <c r="J141" s="242" t="s">
        <v>27</v>
      </c>
      <c r="K141" s="242" t="s">
        <v>27</v>
      </c>
      <c r="L141" s="242" t="s">
        <v>27</v>
      </c>
      <c r="M141" s="327" t="s">
        <v>27</v>
      </c>
      <c r="N141" s="334" t="str">
        <f t="shared" ref="N141:BA142" si="27">IF(N101&gt;=N102,"OK","BŁĄD")</f>
        <v>OK</v>
      </c>
      <c r="O141" s="43" t="str">
        <f t="shared" si="27"/>
        <v>OK</v>
      </c>
      <c r="P141" s="43" t="str">
        <f t="shared" si="27"/>
        <v>OK</v>
      </c>
      <c r="Q141" s="43" t="str">
        <f t="shared" si="27"/>
        <v>OK</v>
      </c>
      <c r="R141" s="43" t="str">
        <f t="shared" si="27"/>
        <v>OK</v>
      </c>
      <c r="S141" s="43" t="str">
        <f t="shared" si="27"/>
        <v>OK</v>
      </c>
      <c r="T141" s="43" t="str">
        <f t="shared" si="27"/>
        <v>OK</v>
      </c>
      <c r="U141" s="43" t="str">
        <f t="shared" si="27"/>
        <v>OK</v>
      </c>
      <c r="V141" s="43" t="str">
        <f t="shared" si="27"/>
        <v>OK</v>
      </c>
      <c r="W141" s="43" t="str">
        <f t="shared" si="27"/>
        <v>OK</v>
      </c>
      <c r="X141" s="43" t="str">
        <f t="shared" si="27"/>
        <v>OK</v>
      </c>
      <c r="Y141" s="43" t="str">
        <f t="shared" si="27"/>
        <v>OK</v>
      </c>
      <c r="Z141" s="43" t="str">
        <f t="shared" si="27"/>
        <v>OK</v>
      </c>
      <c r="AA141" s="43" t="str">
        <f t="shared" si="27"/>
        <v>OK</v>
      </c>
      <c r="AB141" s="43" t="str">
        <f t="shared" si="27"/>
        <v>OK</v>
      </c>
      <c r="AC141" s="43" t="str">
        <f t="shared" si="27"/>
        <v>OK</v>
      </c>
      <c r="AD141" s="43" t="str">
        <f t="shared" si="27"/>
        <v>OK</v>
      </c>
      <c r="AE141" s="43" t="str">
        <f t="shared" si="27"/>
        <v>OK</v>
      </c>
      <c r="AF141" s="43" t="str">
        <f t="shared" si="27"/>
        <v>OK</v>
      </c>
      <c r="AG141" s="43" t="str">
        <f t="shared" si="27"/>
        <v>OK</v>
      </c>
      <c r="AH141" s="43" t="str">
        <f t="shared" si="27"/>
        <v>OK</v>
      </c>
      <c r="AI141" s="43" t="str">
        <f t="shared" si="27"/>
        <v>OK</v>
      </c>
      <c r="AJ141" s="43" t="str">
        <f t="shared" si="27"/>
        <v>OK</v>
      </c>
      <c r="AK141" s="43" t="str">
        <f t="shared" si="27"/>
        <v>OK</v>
      </c>
      <c r="AL141" s="43" t="str">
        <f t="shared" si="27"/>
        <v>OK</v>
      </c>
      <c r="AM141" s="43" t="str">
        <f t="shared" si="27"/>
        <v>OK</v>
      </c>
      <c r="AN141" s="43" t="str">
        <f t="shared" si="27"/>
        <v>OK</v>
      </c>
      <c r="AO141" s="43" t="str">
        <f t="shared" si="27"/>
        <v>OK</v>
      </c>
      <c r="AP141" s="43" t="str">
        <f t="shared" si="27"/>
        <v>OK</v>
      </c>
      <c r="AQ141" s="43" t="str">
        <f t="shared" si="27"/>
        <v>OK</v>
      </c>
      <c r="AR141" s="43" t="str">
        <f t="shared" si="27"/>
        <v>OK</v>
      </c>
      <c r="AS141" s="43" t="str">
        <f t="shared" si="27"/>
        <v>OK</v>
      </c>
      <c r="AT141" s="43" t="str">
        <f t="shared" si="27"/>
        <v>OK</v>
      </c>
      <c r="AU141" s="43" t="str">
        <f t="shared" si="27"/>
        <v>OK</v>
      </c>
      <c r="AV141" s="43" t="str">
        <f t="shared" si="27"/>
        <v>OK</v>
      </c>
      <c r="AW141" s="43" t="str">
        <f t="shared" si="27"/>
        <v>OK</v>
      </c>
      <c r="AX141" s="43" t="str">
        <f t="shared" si="27"/>
        <v>OK</v>
      </c>
      <c r="AY141" s="43" t="str">
        <f t="shared" si="27"/>
        <v>OK</v>
      </c>
      <c r="AZ141" s="43" t="str">
        <f t="shared" si="27"/>
        <v>OK</v>
      </c>
      <c r="BA141" s="44" t="str">
        <f t="shared" si="27"/>
        <v>OK</v>
      </c>
    </row>
    <row r="142" spans="1:53" s="246" customFormat="1" outlineLevel="1">
      <c r="A142" s="244"/>
      <c r="B142" s="244"/>
      <c r="C142" s="241" t="s">
        <v>119</v>
      </c>
      <c r="D142" s="121" t="s">
        <v>418</v>
      </c>
      <c r="E142" s="245" t="s">
        <v>447</v>
      </c>
      <c r="F142" s="326" t="s">
        <v>27</v>
      </c>
      <c r="G142" s="242" t="s">
        <v>27</v>
      </c>
      <c r="H142" s="242" t="s">
        <v>27</v>
      </c>
      <c r="I142" s="242" t="s">
        <v>27</v>
      </c>
      <c r="J142" s="242" t="s">
        <v>27</v>
      </c>
      <c r="K142" s="242" t="s">
        <v>27</v>
      </c>
      <c r="L142" s="242" t="s">
        <v>27</v>
      </c>
      <c r="M142" s="327" t="s">
        <v>27</v>
      </c>
      <c r="N142" s="334" t="str">
        <f t="shared" si="27"/>
        <v>OK</v>
      </c>
      <c r="O142" s="43" t="str">
        <f t="shared" si="27"/>
        <v>OK</v>
      </c>
      <c r="P142" s="43" t="str">
        <f t="shared" si="27"/>
        <v>OK</v>
      </c>
      <c r="Q142" s="43" t="str">
        <f t="shared" si="27"/>
        <v>OK</v>
      </c>
      <c r="R142" s="43" t="str">
        <f t="shared" si="27"/>
        <v>OK</v>
      </c>
      <c r="S142" s="43" t="str">
        <f t="shared" si="27"/>
        <v>OK</v>
      </c>
      <c r="T142" s="43" t="str">
        <f t="shared" si="27"/>
        <v>OK</v>
      </c>
      <c r="U142" s="43" t="str">
        <f t="shared" si="27"/>
        <v>OK</v>
      </c>
      <c r="V142" s="43" t="str">
        <f t="shared" si="27"/>
        <v>OK</v>
      </c>
      <c r="W142" s="43" t="str">
        <f t="shared" si="27"/>
        <v>OK</v>
      </c>
      <c r="X142" s="43" t="str">
        <f t="shared" si="27"/>
        <v>OK</v>
      </c>
      <c r="Y142" s="43" t="str">
        <f t="shared" si="27"/>
        <v>OK</v>
      </c>
      <c r="Z142" s="43" t="str">
        <f t="shared" si="27"/>
        <v>OK</v>
      </c>
      <c r="AA142" s="43" t="str">
        <f t="shared" si="27"/>
        <v>OK</v>
      </c>
      <c r="AB142" s="43" t="str">
        <f t="shared" si="27"/>
        <v>OK</v>
      </c>
      <c r="AC142" s="43" t="str">
        <f t="shared" si="27"/>
        <v>OK</v>
      </c>
      <c r="AD142" s="43" t="str">
        <f t="shared" si="27"/>
        <v>OK</v>
      </c>
      <c r="AE142" s="43" t="str">
        <f t="shared" si="27"/>
        <v>OK</v>
      </c>
      <c r="AF142" s="43" t="str">
        <f t="shared" si="27"/>
        <v>OK</v>
      </c>
      <c r="AG142" s="43" t="str">
        <f t="shared" si="27"/>
        <v>OK</v>
      </c>
      <c r="AH142" s="43" t="str">
        <f t="shared" si="27"/>
        <v>OK</v>
      </c>
      <c r="AI142" s="43" t="str">
        <f t="shared" si="27"/>
        <v>OK</v>
      </c>
      <c r="AJ142" s="43" t="str">
        <f t="shared" si="27"/>
        <v>OK</v>
      </c>
      <c r="AK142" s="43" t="str">
        <f t="shared" si="27"/>
        <v>OK</v>
      </c>
      <c r="AL142" s="43" t="str">
        <f t="shared" si="27"/>
        <v>OK</v>
      </c>
      <c r="AM142" s="43" t="str">
        <f t="shared" si="27"/>
        <v>OK</v>
      </c>
      <c r="AN142" s="43" t="str">
        <f t="shared" si="27"/>
        <v>OK</v>
      </c>
      <c r="AO142" s="43" t="str">
        <f t="shared" si="27"/>
        <v>OK</v>
      </c>
      <c r="AP142" s="43" t="str">
        <f t="shared" si="27"/>
        <v>OK</v>
      </c>
      <c r="AQ142" s="43" t="str">
        <f t="shared" si="27"/>
        <v>OK</v>
      </c>
      <c r="AR142" s="43" t="str">
        <f t="shared" si="27"/>
        <v>OK</v>
      </c>
      <c r="AS142" s="43" t="str">
        <f t="shared" si="27"/>
        <v>OK</v>
      </c>
      <c r="AT142" s="43" t="str">
        <f t="shared" si="27"/>
        <v>OK</v>
      </c>
      <c r="AU142" s="43" t="str">
        <f t="shared" si="27"/>
        <v>OK</v>
      </c>
      <c r="AV142" s="43" t="str">
        <f t="shared" si="27"/>
        <v>OK</v>
      </c>
      <c r="AW142" s="43" t="str">
        <f t="shared" si="27"/>
        <v>OK</v>
      </c>
      <c r="AX142" s="43" t="str">
        <f t="shared" si="27"/>
        <v>OK</v>
      </c>
      <c r="AY142" s="43" t="str">
        <f t="shared" si="27"/>
        <v>OK</v>
      </c>
      <c r="AZ142" s="43" t="str">
        <f t="shared" si="27"/>
        <v>OK</v>
      </c>
      <c r="BA142" s="44" t="str">
        <f t="shared" si="27"/>
        <v>OK</v>
      </c>
    </row>
    <row r="143" spans="1:53" s="246" customFormat="1" outlineLevel="1">
      <c r="A143" s="244"/>
      <c r="B143" s="244"/>
      <c r="C143" s="241" t="s">
        <v>121</v>
      </c>
      <c r="D143" s="121" t="s">
        <v>419</v>
      </c>
      <c r="E143" s="245" t="s">
        <v>448</v>
      </c>
      <c r="F143" s="326" t="s">
        <v>27</v>
      </c>
      <c r="G143" s="242" t="s">
        <v>27</v>
      </c>
      <c r="H143" s="242" t="s">
        <v>27</v>
      </c>
      <c r="I143" s="242" t="s">
        <v>27</v>
      </c>
      <c r="J143" s="242" t="s">
        <v>27</v>
      </c>
      <c r="K143" s="242" t="s">
        <v>27</v>
      </c>
      <c r="L143" s="242" t="s">
        <v>27</v>
      </c>
      <c r="M143" s="327" t="s">
        <v>27</v>
      </c>
      <c r="N143" s="334" t="str">
        <f t="shared" ref="N143:BA143" si="28">IF(N102&gt;=N106,"OK","BŁĄD")</f>
        <v>OK</v>
      </c>
      <c r="O143" s="43" t="str">
        <f t="shared" si="28"/>
        <v>OK</v>
      </c>
      <c r="P143" s="43" t="str">
        <f t="shared" si="28"/>
        <v>OK</v>
      </c>
      <c r="Q143" s="43" t="str">
        <f t="shared" si="28"/>
        <v>OK</v>
      </c>
      <c r="R143" s="43" t="str">
        <f t="shared" si="28"/>
        <v>OK</v>
      </c>
      <c r="S143" s="43" t="str">
        <f t="shared" si="28"/>
        <v>OK</v>
      </c>
      <c r="T143" s="43" t="str">
        <f t="shared" si="28"/>
        <v>OK</v>
      </c>
      <c r="U143" s="43" t="str">
        <f t="shared" si="28"/>
        <v>OK</v>
      </c>
      <c r="V143" s="43" t="str">
        <f t="shared" si="28"/>
        <v>OK</v>
      </c>
      <c r="W143" s="43" t="str">
        <f t="shared" si="28"/>
        <v>OK</v>
      </c>
      <c r="X143" s="43" t="str">
        <f t="shared" si="28"/>
        <v>OK</v>
      </c>
      <c r="Y143" s="43" t="str">
        <f t="shared" si="28"/>
        <v>OK</v>
      </c>
      <c r="Z143" s="43" t="str">
        <f t="shared" si="28"/>
        <v>OK</v>
      </c>
      <c r="AA143" s="43" t="str">
        <f t="shared" si="28"/>
        <v>OK</v>
      </c>
      <c r="AB143" s="43" t="str">
        <f t="shared" si="28"/>
        <v>OK</v>
      </c>
      <c r="AC143" s="43" t="str">
        <f t="shared" si="28"/>
        <v>OK</v>
      </c>
      <c r="AD143" s="43" t="str">
        <f t="shared" si="28"/>
        <v>OK</v>
      </c>
      <c r="AE143" s="43" t="str">
        <f t="shared" si="28"/>
        <v>OK</v>
      </c>
      <c r="AF143" s="43" t="str">
        <f t="shared" si="28"/>
        <v>OK</v>
      </c>
      <c r="AG143" s="43" t="str">
        <f t="shared" si="28"/>
        <v>OK</v>
      </c>
      <c r="AH143" s="43" t="str">
        <f t="shared" si="28"/>
        <v>OK</v>
      </c>
      <c r="AI143" s="43" t="str">
        <f t="shared" si="28"/>
        <v>OK</v>
      </c>
      <c r="AJ143" s="43" t="str">
        <f t="shared" si="28"/>
        <v>OK</v>
      </c>
      <c r="AK143" s="43" t="str">
        <f t="shared" si="28"/>
        <v>OK</v>
      </c>
      <c r="AL143" s="43" t="str">
        <f t="shared" si="28"/>
        <v>OK</v>
      </c>
      <c r="AM143" s="43" t="str">
        <f t="shared" si="28"/>
        <v>OK</v>
      </c>
      <c r="AN143" s="43" t="str">
        <f t="shared" si="28"/>
        <v>OK</v>
      </c>
      <c r="AO143" s="43" t="str">
        <f t="shared" si="28"/>
        <v>OK</v>
      </c>
      <c r="AP143" s="43" t="str">
        <f t="shared" si="28"/>
        <v>OK</v>
      </c>
      <c r="AQ143" s="43" t="str">
        <f t="shared" si="28"/>
        <v>OK</v>
      </c>
      <c r="AR143" s="43" t="str">
        <f t="shared" si="28"/>
        <v>OK</v>
      </c>
      <c r="AS143" s="43" t="str">
        <f t="shared" si="28"/>
        <v>OK</v>
      </c>
      <c r="AT143" s="43" t="str">
        <f t="shared" si="28"/>
        <v>OK</v>
      </c>
      <c r="AU143" s="43" t="str">
        <f t="shared" si="28"/>
        <v>OK</v>
      </c>
      <c r="AV143" s="43" t="str">
        <f t="shared" si="28"/>
        <v>OK</v>
      </c>
      <c r="AW143" s="43" t="str">
        <f t="shared" si="28"/>
        <v>OK</v>
      </c>
      <c r="AX143" s="43" t="str">
        <f t="shared" si="28"/>
        <v>OK</v>
      </c>
      <c r="AY143" s="43" t="str">
        <f t="shared" si="28"/>
        <v>OK</v>
      </c>
      <c r="AZ143" s="43" t="str">
        <f t="shared" si="28"/>
        <v>OK</v>
      </c>
      <c r="BA143" s="44" t="str">
        <f t="shared" si="28"/>
        <v>OK</v>
      </c>
    </row>
    <row r="144" spans="1:53" s="246" customFormat="1" outlineLevel="1">
      <c r="A144" s="244"/>
      <c r="B144" s="244"/>
      <c r="C144" s="241" t="s">
        <v>105</v>
      </c>
      <c r="D144" s="121" t="s">
        <v>105</v>
      </c>
      <c r="E144" s="240" t="s">
        <v>146</v>
      </c>
      <c r="F144" s="326" t="s">
        <v>27</v>
      </c>
      <c r="G144" s="242" t="s">
        <v>27</v>
      </c>
      <c r="H144" s="242" t="s">
        <v>27</v>
      </c>
      <c r="I144" s="242" t="s">
        <v>27</v>
      </c>
      <c r="J144" s="242" t="s">
        <v>27</v>
      </c>
      <c r="K144" s="242" t="s">
        <v>27</v>
      </c>
      <c r="L144" s="242" t="s">
        <v>27</v>
      </c>
      <c r="M144" s="327" t="s">
        <v>27</v>
      </c>
      <c r="N144" s="328" t="str">
        <f t="shared" ref="N144:BA144" si="29">IF(N33&lt;0,IF(ROUND(N37+N39+N41+N43+N45+N33,2)=0,"OK",ROUND(N37+N39+N41+N43+N45+N33,2)),"N/D")</f>
        <v>OK</v>
      </c>
      <c r="O144" s="329" t="str">
        <f t="shared" si="29"/>
        <v>N/D</v>
      </c>
      <c r="P144" s="329" t="str">
        <f t="shared" si="29"/>
        <v>N/D</v>
      </c>
      <c r="Q144" s="329" t="str">
        <f t="shared" si="29"/>
        <v>N/D</v>
      </c>
      <c r="R144" s="329" t="str">
        <f t="shared" si="29"/>
        <v>N/D</v>
      </c>
      <c r="S144" s="329" t="str">
        <f t="shared" si="29"/>
        <v>N/D</v>
      </c>
      <c r="T144" s="329" t="str">
        <f t="shared" si="29"/>
        <v>N/D</v>
      </c>
      <c r="U144" s="329" t="str">
        <f t="shared" si="29"/>
        <v>N/D</v>
      </c>
      <c r="V144" s="329" t="str">
        <f t="shared" si="29"/>
        <v>N/D</v>
      </c>
      <c r="W144" s="329" t="str">
        <f t="shared" si="29"/>
        <v>N/D</v>
      </c>
      <c r="X144" s="329" t="str">
        <f t="shared" si="29"/>
        <v>N/D</v>
      </c>
      <c r="Y144" s="329" t="str">
        <f t="shared" si="29"/>
        <v>N/D</v>
      </c>
      <c r="Z144" s="329" t="str">
        <f t="shared" si="29"/>
        <v>N/D</v>
      </c>
      <c r="AA144" s="329" t="str">
        <f t="shared" si="29"/>
        <v>N/D</v>
      </c>
      <c r="AB144" s="329" t="str">
        <f t="shared" si="29"/>
        <v>N/D</v>
      </c>
      <c r="AC144" s="329" t="str">
        <f t="shared" si="29"/>
        <v>N/D</v>
      </c>
      <c r="AD144" s="329" t="str">
        <f t="shared" si="29"/>
        <v>N/D</v>
      </c>
      <c r="AE144" s="329" t="str">
        <f t="shared" si="29"/>
        <v>N/D</v>
      </c>
      <c r="AF144" s="329" t="str">
        <f t="shared" si="29"/>
        <v>N/D</v>
      </c>
      <c r="AG144" s="329" t="str">
        <f t="shared" si="29"/>
        <v>N/D</v>
      </c>
      <c r="AH144" s="329" t="str">
        <f t="shared" si="29"/>
        <v>N/D</v>
      </c>
      <c r="AI144" s="329" t="str">
        <f t="shared" si="29"/>
        <v>N/D</v>
      </c>
      <c r="AJ144" s="329" t="str">
        <f t="shared" si="29"/>
        <v>N/D</v>
      </c>
      <c r="AK144" s="329" t="str">
        <f t="shared" si="29"/>
        <v>N/D</v>
      </c>
      <c r="AL144" s="329" t="str">
        <f t="shared" si="29"/>
        <v>N/D</v>
      </c>
      <c r="AM144" s="329" t="str">
        <f t="shared" si="29"/>
        <v>N/D</v>
      </c>
      <c r="AN144" s="329" t="str">
        <f t="shared" si="29"/>
        <v>N/D</v>
      </c>
      <c r="AO144" s="329" t="str">
        <f t="shared" si="29"/>
        <v>N/D</v>
      </c>
      <c r="AP144" s="329" t="str">
        <f t="shared" si="29"/>
        <v>N/D</v>
      </c>
      <c r="AQ144" s="329" t="str">
        <f t="shared" si="29"/>
        <v>N/D</v>
      </c>
      <c r="AR144" s="329" t="str">
        <f t="shared" si="29"/>
        <v>N/D</v>
      </c>
      <c r="AS144" s="329" t="str">
        <f t="shared" si="29"/>
        <v>N/D</v>
      </c>
      <c r="AT144" s="329" t="str">
        <f t="shared" si="29"/>
        <v>N/D</v>
      </c>
      <c r="AU144" s="329" t="str">
        <f t="shared" si="29"/>
        <v>N/D</v>
      </c>
      <c r="AV144" s="329" t="str">
        <f t="shared" si="29"/>
        <v>N/D</v>
      </c>
      <c r="AW144" s="329" t="str">
        <f t="shared" si="29"/>
        <v>N/D</v>
      </c>
      <c r="AX144" s="329" t="str">
        <f t="shared" si="29"/>
        <v>N/D</v>
      </c>
      <c r="AY144" s="329" t="str">
        <f t="shared" si="29"/>
        <v>N/D</v>
      </c>
      <c r="AZ144" s="329" t="str">
        <f t="shared" si="29"/>
        <v>N/D</v>
      </c>
      <c r="BA144" s="330" t="str">
        <f t="shared" si="29"/>
        <v>N/D</v>
      </c>
    </row>
    <row r="145" spans="1:53" s="246" customFormat="1" outlineLevel="1">
      <c r="A145" s="244"/>
      <c r="B145" s="244"/>
      <c r="C145" s="241" t="s">
        <v>106</v>
      </c>
      <c r="D145" s="121" t="s">
        <v>106</v>
      </c>
      <c r="E145" s="240" t="s">
        <v>147</v>
      </c>
      <c r="F145" s="326" t="s">
        <v>27</v>
      </c>
      <c r="G145" s="242" t="s">
        <v>27</v>
      </c>
      <c r="H145" s="242" t="s">
        <v>27</v>
      </c>
      <c r="I145" s="242" t="s">
        <v>27</v>
      </c>
      <c r="J145" s="242" t="s">
        <v>27</v>
      </c>
      <c r="K145" s="242" t="s">
        <v>27</v>
      </c>
      <c r="L145" s="242" t="s">
        <v>27</v>
      </c>
      <c r="M145" s="327" t="s">
        <v>27</v>
      </c>
      <c r="N145" s="328" t="str">
        <f t="shared" ref="N145:BA145" si="30">IF(N33&gt;=0,IF(ROUND(N37+N39+N41+N43+N45,2)=0,"OK",ROUND(N37+N39+N41+N43+N45,2)),"N/D")</f>
        <v>N/D</v>
      </c>
      <c r="O145" s="329" t="str">
        <f t="shared" si="30"/>
        <v>OK</v>
      </c>
      <c r="P145" s="329" t="str">
        <f t="shared" si="30"/>
        <v>OK</v>
      </c>
      <c r="Q145" s="329" t="str">
        <f t="shared" si="30"/>
        <v>OK</v>
      </c>
      <c r="R145" s="329" t="str">
        <f t="shared" si="30"/>
        <v>OK</v>
      </c>
      <c r="S145" s="329" t="str">
        <f t="shared" si="30"/>
        <v>OK</v>
      </c>
      <c r="T145" s="329" t="str">
        <f t="shared" si="30"/>
        <v>OK</v>
      </c>
      <c r="U145" s="329" t="str">
        <f t="shared" si="30"/>
        <v>OK</v>
      </c>
      <c r="V145" s="329" t="str">
        <f t="shared" si="30"/>
        <v>OK</v>
      </c>
      <c r="W145" s="329" t="str">
        <f t="shared" si="30"/>
        <v>OK</v>
      </c>
      <c r="X145" s="329" t="str">
        <f t="shared" si="30"/>
        <v>OK</v>
      </c>
      <c r="Y145" s="329" t="str">
        <f t="shared" si="30"/>
        <v>OK</v>
      </c>
      <c r="Z145" s="329" t="str">
        <f t="shared" si="30"/>
        <v>OK</v>
      </c>
      <c r="AA145" s="329" t="str">
        <f t="shared" si="30"/>
        <v>OK</v>
      </c>
      <c r="AB145" s="329" t="str">
        <f t="shared" si="30"/>
        <v>OK</v>
      </c>
      <c r="AC145" s="329" t="str">
        <f t="shared" si="30"/>
        <v>OK</v>
      </c>
      <c r="AD145" s="329" t="str">
        <f t="shared" si="30"/>
        <v>OK</v>
      </c>
      <c r="AE145" s="329" t="str">
        <f t="shared" si="30"/>
        <v>OK</v>
      </c>
      <c r="AF145" s="329" t="str">
        <f t="shared" si="30"/>
        <v>OK</v>
      </c>
      <c r="AG145" s="329" t="str">
        <f t="shared" si="30"/>
        <v>OK</v>
      </c>
      <c r="AH145" s="329" t="str">
        <f t="shared" si="30"/>
        <v>OK</v>
      </c>
      <c r="AI145" s="329" t="str">
        <f t="shared" si="30"/>
        <v>OK</v>
      </c>
      <c r="AJ145" s="329" t="str">
        <f t="shared" si="30"/>
        <v>OK</v>
      </c>
      <c r="AK145" s="329" t="str">
        <f t="shared" si="30"/>
        <v>OK</v>
      </c>
      <c r="AL145" s="329" t="str">
        <f t="shared" si="30"/>
        <v>OK</v>
      </c>
      <c r="AM145" s="329" t="str">
        <f t="shared" si="30"/>
        <v>OK</v>
      </c>
      <c r="AN145" s="329" t="str">
        <f t="shared" si="30"/>
        <v>OK</v>
      </c>
      <c r="AO145" s="329" t="str">
        <f t="shared" si="30"/>
        <v>OK</v>
      </c>
      <c r="AP145" s="329" t="str">
        <f t="shared" si="30"/>
        <v>OK</v>
      </c>
      <c r="AQ145" s="329" t="str">
        <f t="shared" si="30"/>
        <v>OK</v>
      </c>
      <c r="AR145" s="329" t="str">
        <f t="shared" si="30"/>
        <v>OK</v>
      </c>
      <c r="AS145" s="329" t="str">
        <f t="shared" si="30"/>
        <v>OK</v>
      </c>
      <c r="AT145" s="329" t="str">
        <f t="shared" si="30"/>
        <v>OK</v>
      </c>
      <c r="AU145" s="329" t="str">
        <f t="shared" si="30"/>
        <v>OK</v>
      </c>
      <c r="AV145" s="329" t="str">
        <f t="shared" si="30"/>
        <v>OK</v>
      </c>
      <c r="AW145" s="329" t="str">
        <f t="shared" si="30"/>
        <v>OK</v>
      </c>
      <c r="AX145" s="329" t="str">
        <f t="shared" si="30"/>
        <v>OK</v>
      </c>
      <c r="AY145" s="329" t="str">
        <f t="shared" si="30"/>
        <v>OK</v>
      </c>
      <c r="AZ145" s="329" t="str">
        <f t="shared" si="30"/>
        <v>OK</v>
      </c>
      <c r="BA145" s="330" t="str">
        <f t="shared" si="30"/>
        <v>OK</v>
      </c>
    </row>
    <row r="146" spans="1:53" s="246" customFormat="1" ht="54" outlineLevel="1">
      <c r="A146" s="244"/>
      <c r="B146" s="244"/>
      <c r="C146" s="241" t="s">
        <v>112</v>
      </c>
      <c r="D146" s="121" t="s">
        <v>407</v>
      </c>
      <c r="E146" s="243" t="s">
        <v>531</v>
      </c>
      <c r="F146" s="326" t="s">
        <v>27</v>
      </c>
      <c r="G146" s="242" t="s">
        <v>27</v>
      </c>
      <c r="H146" s="242" t="s">
        <v>27</v>
      </c>
      <c r="I146" s="242" t="s">
        <v>27</v>
      </c>
      <c r="J146" s="242" t="s">
        <v>27</v>
      </c>
      <c r="K146" s="242" t="s">
        <v>27</v>
      </c>
      <c r="L146" s="242" t="s">
        <v>27</v>
      </c>
      <c r="M146" s="327" t="s">
        <v>27</v>
      </c>
      <c r="N146" s="328" t="str">
        <f t="shared" ref="N146:BA146" si="31">IF(N33&gt;0,IF(ROUND(N33-N34,2)&lt;&gt;0,ROUND(N33-N34,2),"OK"),IF(N34&lt;&gt;0,"BŁĄD w [3.1]","OK"))</f>
        <v>OK</v>
      </c>
      <c r="O146" s="329" t="str">
        <f t="shared" si="31"/>
        <v>OK</v>
      </c>
      <c r="P146" s="329" t="str">
        <f t="shared" si="31"/>
        <v>OK</v>
      </c>
      <c r="Q146" s="329" t="str">
        <f t="shared" si="31"/>
        <v>OK</v>
      </c>
      <c r="R146" s="329" t="str">
        <f t="shared" si="31"/>
        <v>OK</v>
      </c>
      <c r="S146" s="329" t="str">
        <f t="shared" si="31"/>
        <v>OK</v>
      </c>
      <c r="T146" s="329" t="str">
        <f t="shared" si="31"/>
        <v>OK</v>
      </c>
      <c r="U146" s="329" t="str">
        <f t="shared" si="31"/>
        <v>OK</v>
      </c>
      <c r="V146" s="329" t="str">
        <f t="shared" si="31"/>
        <v>OK</v>
      </c>
      <c r="W146" s="329" t="str">
        <f t="shared" si="31"/>
        <v>OK</v>
      </c>
      <c r="X146" s="329" t="str">
        <f t="shared" si="31"/>
        <v>OK</v>
      </c>
      <c r="Y146" s="329" t="str">
        <f t="shared" si="31"/>
        <v>OK</v>
      </c>
      <c r="Z146" s="329" t="str">
        <f t="shared" si="31"/>
        <v>OK</v>
      </c>
      <c r="AA146" s="329" t="str">
        <f t="shared" si="31"/>
        <v>OK</v>
      </c>
      <c r="AB146" s="329" t="str">
        <f t="shared" si="31"/>
        <v>OK</v>
      </c>
      <c r="AC146" s="329" t="str">
        <f t="shared" si="31"/>
        <v>OK</v>
      </c>
      <c r="AD146" s="329" t="str">
        <f t="shared" si="31"/>
        <v>OK</v>
      </c>
      <c r="AE146" s="329" t="str">
        <f t="shared" si="31"/>
        <v>OK</v>
      </c>
      <c r="AF146" s="329" t="str">
        <f t="shared" si="31"/>
        <v>OK</v>
      </c>
      <c r="AG146" s="329" t="str">
        <f t="shared" si="31"/>
        <v>OK</v>
      </c>
      <c r="AH146" s="329" t="str">
        <f t="shared" si="31"/>
        <v>OK</v>
      </c>
      <c r="AI146" s="329" t="str">
        <f t="shared" si="31"/>
        <v>OK</v>
      </c>
      <c r="AJ146" s="329" t="str">
        <f t="shared" si="31"/>
        <v>OK</v>
      </c>
      <c r="AK146" s="329" t="str">
        <f t="shared" si="31"/>
        <v>OK</v>
      </c>
      <c r="AL146" s="329" t="str">
        <f t="shared" si="31"/>
        <v>OK</v>
      </c>
      <c r="AM146" s="329" t="str">
        <f t="shared" si="31"/>
        <v>OK</v>
      </c>
      <c r="AN146" s="329" t="str">
        <f t="shared" si="31"/>
        <v>OK</v>
      </c>
      <c r="AO146" s="329" t="str">
        <f t="shared" si="31"/>
        <v>OK</v>
      </c>
      <c r="AP146" s="329" t="str">
        <f t="shared" si="31"/>
        <v>OK</v>
      </c>
      <c r="AQ146" s="329" t="str">
        <f t="shared" si="31"/>
        <v>OK</v>
      </c>
      <c r="AR146" s="329" t="str">
        <f t="shared" si="31"/>
        <v>OK</v>
      </c>
      <c r="AS146" s="329" t="str">
        <f t="shared" si="31"/>
        <v>OK</v>
      </c>
      <c r="AT146" s="329" t="str">
        <f t="shared" si="31"/>
        <v>OK</v>
      </c>
      <c r="AU146" s="329" t="str">
        <f t="shared" si="31"/>
        <v>OK</v>
      </c>
      <c r="AV146" s="329" t="str">
        <f t="shared" si="31"/>
        <v>OK</v>
      </c>
      <c r="AW146" s="329" t="str">
        <f t="shared" si="31"/>
        <v>OK</v>
      </c>
      <c r="AX146" s="329" t="str">
        <f t="shared" si="31"/>
        <v>OK</v>
      </c>
      <c r="AY146" s="329" t="str">
        <f t="shared" si="31"/>
        <v>OK</v>
      </c>
      <c r="AZ146" s="329" t="str">
        <f t="shared" si="31"/>
        <v>OK</v>
      </c>
      <c r="BA146" s="330" t="str">
        <f t="shared" si="31"/>
        <v>OK</v>
      </c>
    </row>
    <row r="147" spans="1:53" s="246" customFormat="1" outlineLevel="1">
      <c r="A147" s="244"/>
      <c r="B147" s="244"/>
      <c r="C147" s="241" t="s">
        <v>107</v>
      </c>
      <c r="D147" s="121" t="s">
        <v>372</v>
      </c>
      <c r="E147" s="245" t="s">
        <v>374</v>
      </c>
      <c r="F147" s="335" t="str">
        <f>IF(ROUND((F12+F13+F14+F15+F16-F11),2)=0,"OK","BŁĄD")</f>
        <v>OK</v>
      </c>
      <c r="G147" s="331" t="str">
        <f>IF(ROUND((G12+G13+G14+G15+G16-G11),2)=0,"OK","BŁĄD")</f>
        <v>OK</v>
      </c>
      <c r="H147" s="331" t="str">
        <f>IF(ROUND((H12+H13+H14+H15+H16-H11),2)=0,"OK","BŁĄD")</f>
        <v>OK</v>
      </c>
      <c r="I147" s="331" t="str">
        <f>IF(ROUND((I12+I13+I14+I15+I16-I11),2)=0,"OK","BŁĄD")</f>
        <v>OK</v>
      </c>
      <c r="J147" s="331" t="str">
        <f>IF(ROUND((J12+J13+J14+J15+J16-J11),2)=0,"OK","BŁĄD")</f>
        <v>OK</v>
      </c>
      <c r="K147" s="331" t="str">
        <f t="shared" ref="K147:Q147" si="32">IF(ROUND((K12+K13+K14+K15+K16-K11),2)=0,"OK","BŁĄD")</f>
        <v>OK</v>
      </c>
      <c r="L147" s="331" t="str">
        <f t="shared" si="32"/>
        <v>OK</v>
      </c>
      <c r="M147" s="332" t="str">
        <f t="shared" si="32"/>
        <v>OK</v>
      </c>
      <c r="N147" s="334" t="str">
        <f t="shared" si="32"/>
        <v>OK</v>
      </c>
      <c r="O147" s="43" t="str">
        <f t="shared" si="32"/>
        <v>OK</v>
      </c>
      <c r="P147" s="43" t="str">
        <f t="shared" si="32"/>
        <v>OK</v>
      </c>
      <c r="Q147" s="43" t="str">
        <f t="shared" si="32"/>
        <v>OK</v>
      </c>
      <c r="R147" s="43" t="s">
        <v>27</v>
      </c>
      <c r="S147" s="43" t="s">
        <v>27</v>
      </c>
      <c r="T147" s="43" t="s">
        <v>27</v>
      </c>
      <c r="U147" s="43" t="s">
        <v>27</v>
      </c>
      <c r="V147" s="43" t="s">
        <v>27</v>
      </c>
      <c r="W147" s="43" t="s">
        <v>27</v>
      </c>
      <c r="X147" s="43" t="s">
        <v>27</v>
      </c>
      <c r="Y147" s="43" t="s">
        <v>27</v>
      </c>
      <c r="Z147" s="43" t="s">
        <v>27</v>
      </c>
      <c r="AA147" s="43" t="s">
        <v>27</v>
      </c>
      <c r="AB147" s="43" t="s">
        <v>27</v>
      </c>
      <c r="AC147" s="43" t="s">
        <v>27</v>
      </c>
      <c r="AD147" s="43" t="s">
        <v>27</v>
      </c>
      <c r="AE147" s="43" t="s">
        <v>27</v>
      </c>
      <c r="AF147" s="43" t="s">
        <v>27</v>
      </c>
      <c r="AG147" s="43" t="s">
        <v>27</v>
      </c>
      <c r="AH147" s="43" t="s">
        <v>27</v>
      </c>
      <c r="AI147" s="43" t="s">
        <v>27</v>
      </c>
      <c r="AJ147" s="43" t="s">
        <v>27</v>
      </c>
      <c r="AK147" s="43" t="s">
        <v>27</v>
      </c>
      <c r="AL147" s="43" t="s">
        <v>27</v>
      </c>
      <c r="AM147" s="43" t="s">
        <v>27</v>
      </c>
      <c r="AN147" s="43" t="s">
        <v>27</v>
      </c>
      <c r="AO147" s="43" t="s">
        <v>27</v>
      </c>
      <c r="AP147" s="43" t="s">
        <v>27</v>
      </c>
      <c r="AQ147" s="43" t="s">
        <v>27</v>
      </c>
      <c r="AR147" s="43" t="s">
        <v>27</v>
      </c>
      <c r="AS147" s="43" t="s">
        <v>27</v>
      </c>
      <c r="AT147" s="43" t="s">
        <v>27</v>
      </c>
      <c r="AU147" s="43" t="s">
        <v>27</v>
      </c>
      <c r="AV147" s="43" t="s">
        <v>27</v>
      </c>
      <c r="AW147" s="43" t="s">
        <v>27</v>
      </c>
      <c r="AX147" s="43" t="s">
        <v>27</v>
      </c>
      <c r="AY147" s="43" t="s">
        <v>27</v>
      </c>
      <c r="AZ147" s="43" t="s">
        <v>27</v>
      </c>
      <c r="BA147" s="44" t="s">
        <v>27</v>
      </c>
    </row>
    <row r="148" spans="1:53" s="246" customFormat="1" outlineLevel="1">
      <c r="A148" s="244"/>
      <c r="B148" s="244"/>
      <c r="C148" s="241" t="s">
        <v>107</v>
      </c>
      <c r="D148" s="121" t="s">
        <v>373</v>
      </c>
      <c r="E148" s="245" t="s">
        <v>375</v>
      </c>
      <c r="F148" s="326" t="s">
        <v>27</v>
      </c>
      <c r="G148" s="242" t="s">
        <v>27</v>
      </c>
      <c r="H148" s="242" t="s">
        <v>27</v>
      </c>
      <c r="I148" s="242" t="s">
        <v>27</v>
      </c>
      <c r="J148" s="242" t="s">
        <v>27</v>
      </c>
      <c r="K148" s="242" t="s">
        <v>27</v>
      </c>
      <c r="L148" s="242" t="s">
        <v>27</v>
      </c>
      <c r="M148" s="327" t="s">
        <v>27</v>
      </c>
      <c r="N148" s="334" t="s">
        <v>27</v>
      </c>
      <c r="O148" s="43" t="s">
        <v>27</v>
      </c>
      <c r="P148" s="43" t="s">
        <v>27</v>
      </c>
      <c r="Q148" s="43" t="s">
        <v>27</v>
      </c>
      <c r="R148" s="43" t="str">
        <f t="shared" ref="R148:BA148" si="33">IF(ROUND((R11-(R12+R13+R14+R15+R16)),2)&gt;=0,"OK","BŁĄD")</f>
        <v>OK</v>
      </c>
      <c r="S148" s="43" t="str">
        <f t="shared" si="33"/>
        <v>OK</v>
      </c>
      <c r="T148" s="43" t="str">
        <f t="shared" si="33"/>
        <v>OK</v>
      </c>
      <c r="U148" s="43" t="str">
        <f t="shared" si="33"/>
        <v>OK</v>
      </c>
      <c r="V148" s="43" t="str">
        <f t="shared" si="33"/>
        <v>OK</v>
      </c>
      <c r="W148" s="43" t="str">
        <f t="shared" si="33"/>
        <v>OK</v>
      </c>
      <c r="X148" s="43" t="str">
        <f t="shared" si="33"/>
        <v>OK</v>
      </c>
      <c r="Y148" s="43" t="str">
        <f t="shared" si="33"/>
        <v>OK</v>
      </c>
      <c r="Z148" s="43" t="str">
        <f t="shared" si="33"/>
        <v>OK</v>
      </c>
      <c r="AA148" s="43" t="str">
        <f t="shared" si="33"/>
        <v>OK</v>
      </c>
      <c r="AB148" s="43" t="str">
        <f t="shared" si="33"/>
        <v>OK</v>
      </c>
      <c r="AC148" s="43" t="str">
        <f t="shared" si="33"/>
        <v>OK</v>
      </c>
      <c r="AD148" s="43" t="str">
        <f t="shared" si="33"/>
        <v>OK</v>
      </c>
      <c r="AE148" s="43" t="str">
        <f t="shared" si="33"/>
        <v>OK</v>
      </c>
      <c r="AF148" s="43" t="str">
        <f t="shared" si="33"/>
        <v>OK</v>
      </c>
      <c r="AG148" s="43" t="str">
        <f t="shared" si="33"/>
        <v>OK</v>
      </c>
      <c r="AH148" s="43" t="str">
        <f t="shared" si="33"/>
        <v>OK</v>
      </c>
      <c r="AI148" s="43" t="str">
        <f t="shared" si="33"/>
        <v>OK</v>
      </c>
      <c r="AJ148" s="43" t="str">
        <f t="shared" si="33"/>
        <v>OK</v>
      </c>
      <c r="AK148" s="43" t="str">
        <f t="shared" si="33"/>
        <v>OK</v>
      </c>
      <c r="AL148" s="43" t="str">
        <f t="shared" si="33"/>
        <v>OK</v>
      </c>
      <c r="AM148" s="43" t="str">
        <f t="shared" si="33"/>
        <v>OK</v>
      </c>
      <c r="AN148" s="43" t="str">
        <f t="shared" si="33"/>
        <v>OK</v>
      </c>
      <c r="AO148" s="43" t="str">
        <f t="shared" si="33"/>
        <v>OK</v>
      </c>
      <c r="AP148" s="43" t="str">
        <f t="shared" si="33"/>
        <v>OK</v>
      </c>
      <c r="AQ148" s="43" t="str">
        <f t="shared" si="33"/>
        <v>OK</v>
      </c>
      <c r="AR148" s="43" t="str">
        <f t="shared" si="33"/>
        <v>OK</v>
      </c>
      <c r="AS148" s="43" t="str">
        <f t="shared" si="33"/>
        <v>OK</v>
      </c>
      <c r="AT148" s="43" t="str">
        <f t="shared" si="33"/>
        <v>OK</v>
      </c>
      <c r="AU148" s="43" t="str">
        <f t="shared" si="33"/>
        <v>OK</v>
      </c>
      <c r="AV148" s="43" t="str">
        <f t="shared" si="33"/>
        <v>OK</v>
      </c>
      <c r="AW148" s="43" t="str">
        <f t="shared" si="33"/>
        <v>OK</v>
      </c>
      <c r="AX148" s="43" t="str">
        <f t="shared" si="33"/>
        <v>OK</v>
      </c>
      <c r="AY148" s="43" t="str">
        <f t="shared" si="33"/>
        <v>OK</v>
      </c>
      <c r="AZ148" s="43" t="str">
        <f t="shared" si="33"/>
        <v>OK</v>
      </c>
      <c r="BA148" s="44" t="str">
        <f t="shared" si="33"/>
        <v>OK</v>
      </c>
    </row>
    <row r="149" spans="1:53" s="246" customFormat="1" outlineLevel="1">
      <c r="A149" s="244"/>
      <c r="B149" s="244"/>
      <c r="C149" s="241" t="s">
        <v>108</v>
      </c>
      <c r="D149" s="121" t="s">
        <v>376</v>
      </c>
      <c r="E149" s="245" t="s">
        <v>377</v>
      </c>
      <c r="F149" s="326" t="s">
        <v>27</v>
      </c>
      <c r="G149" s="242" t="s">
        <v>27</v>
      </c>
      <c r="H149" s="242" t="s">
        <v>27</v>
      </c>
      <c r="I149" s="242" t="s">
        <v>27</v>
      </c>
      <c r="J149" s="242" t="s">
        <v>27</v>
      </c>
      <c r="K149" s="242" t="s">
        <v>27</v>
      </c>
      <c r="L149" s="242" t="s">
        <v>27</v>
      </c>
      <c r="M149" s="327" t="s">
        <v>27</v>
      </c>
      <c r="N149" s="334" t="str">
        <f t="shared" ref="N149:BA149" si="34">IF(N11&gt;=N78,"OK","BŁĄD")</f>
        <v>OK</v>
      </c>
      <c r="O149" s="43" t="str">
        <f t="shared" si="34"/>
        <v>OK</v>
      </c>
      <c r="P149" s="43" t="str">
        <f t="shared" si="34"/>
        <v>OK</v>
      </c>
      <c r="Q149" s="43" t="str">
        <f t="shared" si="34"/>
        <v>OK</v>
      </c>
      <c r="R149" s="43" t="str">
        <f t="shared" si="34"/>
        <v>OK</v>
      </c>
      <c r="S149" s="43" t="str">
        <f t="shared" si="34"/>
        <v>OK</v>
      </c>
      <c r="T149" s="43" t="str">
        <f t="shared" si="34"/>
        <v>OK</v>
      </c>
      <c r="U149" s="43" t="str">
        <f t="shared" si="34"/>
        <v>OK</v>
      </c>
      <c r="V149" s="43" t="str">
        <f t="shared" si="34"/>
        <v>OK</v>
      </c>
      <c r="W149" s="43" t="str">
        <f t="shared" si="34"/>
        <v>OK</v>
      </c>
      <c r="X149" s="43" t="str">
        <f t="shared" si="34"/>
        <v>OK</v>
      </c>
      <c r="Y149" s="43" t="str">
        <f t="shared" si="34"/>
        <v>OK</v>
      </c>
      <c r="Z149" s="43" t="str">
        <f t="shared" si="34"/>
        <v>OK</v>
      </c>
      <c r="AA149" s="43" t="str">
        <f t="shared" si="34"/>
        <v>OK</v>
      </c>
      <c r="AB149" s="43" t="str">
        <f t="shared" si="34"/>
        <v>OK</v>
      </c>
      <c r="AC149" s="43" t="str">
        <f t="shared" si="34"/>
        <v>OK</v>
      </c>
      <c r="AD149" s="43" t="str">
        <f t="shared" si="34"/>
        <v>OK</v>
      </c>
      <c r="AE149" s="43" t="str">
        <f t="shared" si="34"/>
        <v>OK</v>
      </c>
      <c r="AF149" s="43" t="str">
        <f t="shared" si="34"/>
        <v>OK</v>
      </c>
      <c r="AG149" s="43" t="str">
        <f t="shared" si="34"/>
        <v>OK</v>
      </c>
      <c r="AH149" s="43" t="str">
        <f t="shared" si="34"/>
        <v>OK</v>
      </c>
      <c r="AI149" s="43" t="str">
        <f t="shared" si="34"/>
        <v>OK</v>
      </c>
      <c r="AJ149" s="43" t="str">
        <f t="shared" si="34"/>
        <v>OK</v>
      </c>
      <c r="AK149" s="43" t="str">
        <f t="shared" si="34"/>
        <v>OK</v>
      </c>
      <c r="AL149" s="43" t="str">
        <f t="shared" si="34"/>
        <v>OK</v>
      </c>
      <c r="AM149" s="43" t="str">
        <f t="shared" si="34"/>
        <v>OK</v>
      </c>
      <c r="AN149" s="43" t="str">
        <f t="shared" si="34"/>
        <v>OK</v>
      </c>
      <c r="AO149" s="43" t="str">
        <f t="shared" si="34"/>
        <v>OK</v>
      </c>
      <c r="AP149" s="43" t="str">
        <f t="shared" si="34"/>
        <v>OK</v>
      </c>
      <c r="AQ149" s="43" t="str">
        <f t="shared" si="34"/>
        <v>OK</v>
      </c>
      <c r="AR149" s="43" t="str">
        <f t="shared" si="34"/>
        <v>OK</v>
      </c>
      <c r="AS149" s="43" t="str">
        <f t="shared" si="34"/>
        <v>OK</v>
      </c>
      <c r="AT149" s="43" t="str">
        <f t="shared" si="34"/>
        <v>OK</v>
      </c>
      <c r="AU149" s="43" t="str">
        <f t="shared" si="34"/>
        <v>OK</v>
      </c>
      <c r="AV149" s="43" t="str">
        <f t="shared" si="34"/>
        <v>OK</v>
      </c>
      <c r="AW149" s="43" t="str">
        <f t="shared" si="34"/>
        <v>OK</v>
      </c>
      <c r="AX149" s="43" t="str">
        <f t="shared" si="34"/>
        <v>OK</v>
      </c>
      <c r="AY149" s="43" t="str">
        <f t="shared" si="34"/>
        <v>OK</v>
      </c>
      <c r="AZ149" s="43" t="str">
        <f t="shared" si="34"/>
        <v>OK</v>
      </c>
      <c r="BA149" s="44" t="str">
        <f t="shared" si="34"/>
        <v>OK</v>
      </c>
    </row>
    <row r="150" spans="1:53" s="246" customFormat="1" outlineLevel="1">
      <c r="A150" s="244"/>
      <c r="B150" s="244"/>
      <c r="C150" s="241" t="s">
        <v>108</v>
      </c>
      <c r="D150" s="121" t="s">
        <v>379</v>
      </c>
      <c r="E150" s="245" t="s">
        <v>378</v>
      </c>
      <c r="F150" s="326" t="s">
        <v>27</v>
      </c>
      <c r="G150" s="242" t="s">
        <v>27</v>
      </c>
      <c r="H150" s="242" t="s">
        <v>27</v>
      </c>
      <c r="I150" s="242" t="s">
        <v>27</v>
      </c>
      <c r="J150" s="242" t="s">
        <v>27</v>
      </c>
      <c r="K150" s="242" t="s">
        <v>27</v>
      </c>
      <c r="L150" s="242" t="s">
        <v>27</v>
      </c>
      <c r="M150" s="327" t="s">
        <v>27</v>
      </c>
      <c r="N150" s="334" t="str">
        <f t="shared" ref="N150:BA150" si="35">IF(N11&gt;=N111,"OK","BŁĄD")</f>
        <v>OK</v>
      </c>
      <c r="O150" s="43" t="str">
        <f t="shared" si="35"/>
        <v>OK</v>
      </c>
      <c r="P150" s="43" t="str">
        <f t="shared" si="35"/>
        <v>OK</v>
      </c>
      <c r="Q150" s="43" t="str">
        <f t="shared" si="35"/>
        <v>OK</v>
      </c>
      <c r="R150" s="43" t="str">
        <f t="shared" si="35"/>
        <v>OK</v>
      </c>
      <c r="S150" s="43" t="str">
        <f t="shared" si="35"/>
        <v>OK</v>
      </c>
      <c r="T150" s="43" t="str">
        <f t="shared" si="35"/>
        <v>OK</v>
      </c>
      <c r="U150" s="43" t="str">
        <f t="shared" si="35"/>
        <v>OK</v>
      </c>
      <c r="V150" s="43" t="str">
        <f t="shared" si="35"/>
        <v>OK</v>
      </c>
      <c r="W150" s="43" t="str">
        <f t="shared" si="35"/>
        <v>OK</v>
      </c>
      <c r="X150" s="43" t="str">
        <f t="shared" si="35"/>
        <v>OK</v>
      </c>
      <c r="Y150" s="43" t="str">
        <f t="shared" si="35"/>
        <v>OK</v>
      </c>
      <c r="Z150" s="43" t="str">
        <f t="shared" si="35"/>
        <v>OK</v>
      </c>
      <c r="AA150" s="43" t="str">
        <f t="shared" si="35"/>
        <v>OK</v>
      </c>
      <c r="AB150" s="43" t="str">
        <f t="shared" si="35"/>
        <v>OK</v>
      </c>
      <c r="AC150" s="43" t="str">
        <f t="shared" si="35"/>
        <v>OK</v>
      </c>
      <c r="AD150" s="43" t="str">
        <f t="shared" si="35"/>
        <v>OK</v>
      </c>
      <c r="AE150" s="43" t="str">
        <f t="shared" si="35"/>
        <v>OK</v>
      </c>
      <c r="AF150" s="43" t="str">
        <f t="shared" si="35"/>
        <v>OK</v>
      </c>
      <c r="AG150" s="43" t="str">
        <f t="shared" si="35"/>
        <v>OK</v>
      </c>
      <c r="AH150" s="43" t="str">
        <f t="shared" si="35"/>
        <v>OK</v>
      </c>
      <c r="AI150" s="43" t="str">
        <f t="shared" si="35"/>
        <v>OK</v>
      </c>
      <c r="AJ150" s="43" t="str">
        <f t="shared" si="35"/>
        <v>OK</v>
      </c>
      <c r="AK150" s="43" t="str">
        <f t="shared" si="35"/>
        <v>OK</v>
      </c>
      <c r="AL150" s="43" t="str">
        <f t="shared" si="35"/>
        <v>OK</v>
      </c>
      <c r="AM150" s="43" t="str">
        <f t="shared" si="35"/>
        <v>OK</v>
      </c>
      <c r="AN150" s="43" t="str">
        <f t="shared" si="35"/>
        <v>OK</v>
      </c>
      <c r="AO150" s="43" t="str">
        <f t="shared" si="35"/>
        <v>OK</v>
      </c>
      <c r="AP150" s="43" t="str">
        <f t="shared" si="35"/>
        <v>OK</v>
      </c>
      <c r="AQ150" s="43" t="str">
        <f t="shared" si="35"/>
        <v>OK</v>
      </c>
      <c r="AR150" s="43" t="str">
        <f t="shared" si="35"/>
        <v>OK</v>
      </c>
      <c r="AS150" s="43" t="str">
        <f t="shared" si="35"/>
        <v>OK</v>
      </c>
      <c r="AT150" s="43" t="str">
        <f t="shared" si="35"/>
        <v>OK</v>
      </c>
      <c r="AU150" s="43" t="str">
        <f t="shared" si="35"/>
        <v>OK</v>
      </c>
      <c r="AV150" s="43" t="str">
        <f t="shared" si="35"/>
        <v>OK</v>
      </c>
      <c r="AW150" s="43" t="str">
        <f t="shared" si="35"/>
        <v>OK</v>
      </c>
      <c r="AX150" s="43" t="str">
        <f t="shared" si="35"/>
        <v>OK</v>
      </c>
      <c r="AY150" s="43" t="str">
        <f t="shared" si="35"/>
        <v>OK</v>
      </c>
      <c r="AZ150" s="43" t="str">
        <f t="shared" si="35"/>
        <v>OK</v>
      </c>
      <c r="BA150" s="44" t="str">
        <f t="shared" si="35"/>
        <v>OK</v>
      </c>
    </row>
    <row r="151" spans="1:53" s="246" customFormat="1" outlineLevel="1">
      <c r="A151" s="244"/>
      <c r="B151" s="244"/>
      <c r="C151" s="241" t="s">
        <v>108</v>
      </c>
      <c r="D151" s="121" t="s">
        <v>380</v>
      </c>
      <c r="E151" s="245" t="s">
        <v>381</v>
      </c>
      <c r="F151" s="326" t="s">
        <v>27</v>
      </c>
      <c r="G151" s="242" t="s">
        <v>27</v>
      </c>
      <c r="H151" s="242" t="s">
        <v>27</v>
      </c>
      <c r="I151" s="242" t="s">
        <v>27</v>
      </c>
      <c r="J151" s="242" t="s">
        <v>27</v>
      </c>
      <c r="K151" s="242" t="s">
        <v>27</v>
      </c>
      <c r="L151" s="242" t="s">
        <v>27</v>
      </c>
      <c r="M151" s="327" t="s">
        <v>27</v>
      </c>
      <c r="N151" s="334" t="str">
        <f t="shared" ref="N151:BA151" si="36">IF(N16&gt;=N17,"OK","BŁĄD")</f>
        <v>OK</v>
      </c>
      <c r="O151" s="43" t="str">
        <f t="shared" si="36"/>
        <v>OK</v>
      </c>
      <c r="P151" s="43" t="str">
        <f t="shared" si="36"/>
        <v>OK</v>
      </c>
      <c r="Q151" s="43" t="str">
        <f t="shared" si="36"/>
        <v>OK</v>
      </c>
      <c r="R151" s="43" t="str">
        <f t="shared" si="36"/>
        <v>OK</v>
      </c>
      <c r="S151" s="43" t="str">
        <f t="shared" si="36"/>
        <v>OK</v>
      </c>
      <c r="T151" s="43" t="str">
        <f t="shared" si="36"/>
        <v>OK</v>
      </c>
      <c r="U151" s="43" t="str">
        <f t="shared" si="36"/>
        <v>OK</v>
      </c>
      <c r="V151" s="43" t="str">
        <f t="shared" si="36"/>
        <v>OK</v>
      </c>
      <c r="W151" s="43" t="str">
        <f t="shared" si="36"/>
        <v>OK</v>
      </c>
      <c r="X151" s="43" t="str">
        <f t="shared" si="36"/>
        <v>OK</v>
      </c>
      <c r="Y151" s="43" t="str">
        <f t="shared" si="36"/>
        <v>OK</v>
      </c>
      <c r="Z151" s="43" t="str">
        <f t="shared" si="36"/>
        <v>OK</v>
      </c>
      <c r="AA151" s="43" t="str">
        <f t="shared" si="36"/>
        <v>OK</v>
      </c>
      <c r="AB151" s="43" t="str">
        <f t="shared" si="36"/>
        <v>OK</v>
      </c>
      <c r="AC151" s="43" t="str">
        <f t="shared" si="36"/>
        <v>OK</v>
      </c>
      <c r="AD151" s="43" t="str">
        <f t="shared" si="36"/>
        <v>OK</v>
      </c>
      <c r="AE151" s="43" t="str">
        <f t="shared" si="36"/>
        <v>OK</v>
      </c>
      <c r="AF151" s="43" t="str">
        <f t="shared" si="36"/>
        <v>OK</v>
      </c>
      <c r="AG151" s="43" t="str">
        <f t="shared" si="36"/>
        <v>OK</v>
      </c>
      <c r="AH151" s="43" t="str">
        <f t="shared" si="36"/>
        <v>OK</v>
      </c>
      <c r="AI151" s="43" t="str">
        <f t="shared" si="36"/>
        <v>OK</v>
      </c>
      <c r="AJ151" s="43" t="str">
        <f t="shared" si="36"/>
        <v>OK</v>
      </c>
      <c r="AK151" s="43" t="str">
        <f t="shared" si="36"/>
        <v>OK</v>
      </c>
      <c r="AL151" s="43" t="str">
        <f t="shared" si="36"/>
        <v>OK</v>
      </c>
      <c r="AM151" s="43" t="str">
        <f t="shared" si="36"/>
        <v>OK</v>
      </c>
      <c r="AN151" s="43" t="str">
        <f t="shared" si="36"/>
        <v>OK</v>
      </c>
      <c r="AO151" s="43" t="str">
        <f t="shared" si="36"/>
        <v>OK</v>
      </c>
      <c r="AP151" s="43" t="str">
        <f t="shared" si="36"/>
        <v>OK</v>
      </c>
      <c r="AQ151" s="43" t="str">
        <f t="shared" si="36"/>
        <v>OK</v>
      </c>
      <c r="AR151" s="43" t="str">
        <f t="shared" si="36"/>
        <v>OK</v>
      </c>
      <c r="AS151" s="43" t="str">
        <f t="shared" si="36"/>
        <v>OK</v>
      </c>
      <c r="AT151" s="43" t="str">
        <f t="shared" si="36"/>
        <v>OK</v>
      </c>
      <c r="AU151" s="43" t="str">
        <f t="shared" si="36"/>
        <v>OK</v>
      </c>
      <c r="AV151" s="43" t="str">
        <f t="shared" si="36"/>
        <v>OK</v>
      </c>
      <c r="AW151" s="43" t="str">
        <f t="shared" si="36"/>
        <v>OK</v>
      </c>
      <c r="AX151" s="43" t="str">
        <f t="shared" si="36"/>
        <v>OK</v>
      </c>
      <c r="AY151" s="43" t="str">
        <f t="shared" si="36"/>
        <v>OK</v>
      </c>
      <c r="AZ151" s="43" t="str">
        <f t="shared" si="36"/>
        <v>OK</v>
      </c>
      <c r="BA151" s="44" t="str">
        <f t="shared" si="36"/>
        <v>OK</v>
      </c>
    </row>
    <row r="152" spans="1:53" s="246" customFormat="1" outlineLevel="1">
      <c r="A152" s="244"/>
      <c r="B152" s="244"/>
      <c r="C152" s="241"/>
      <c r="D152" s="121"/>
      <c r="E152" s="245" t="s">
        <v>532</v>
      </c>
      <c r="F152" s="326" t="s">
        <v>27</v>
      </c>
      <c r="G152" s="242" t="s">
        <v>27</v>
      </c>
      <c r="H152" s="242" t="s">
        <v>27</v>
      </c>
      <c r="I152" s="242" t="s">
        <v>27</v>
      </c>
      <c r="J152" s="242" t="s">
        <v>27</v>
      </c>
      <c r="K152" s="242" t="s">
        <v>27</v>
      </c>
      <c r="L152" s="242" t="s">
        <v>27</v>
      </c>
      <c r="M152" s="327" t="s">
        <v>27</v>
      </c>
      <c r="N152" s="334" t="str">
        <f t="shared" ref="N152:BA152" si="37">IF(ROUND(N18-(N19+N20),2)&gt;=0,"OK","BŁĄD")</f>
        <v>OK</v>
      </c>
      <c r="O152" s="43" t="str">
        <f t="shared" si="37"/>
        <v>OK</v>
      </c>
      <c r="P152" s="43" t="str">
        <f t="shared" si="37"/>
        <v>OK</v>
      </c>
      <c r="Q152" s="43" t="str">
        <f t="shared" si="37"/>
        <v>OK</v>
      </c>
      <c r="R152" s="43" t="str">
        <f t="shared" si="37"/>
        <v>OK</v>
      </c>
      <c r="S152" s="43" t="str">
        <f t="shared" si="37"/>
        <v>OK</v>
      </c>
      <c r="T152" s="43" t="str">
        <f t="shared" si="37"/>
        <v>OK</v>
      </c>
      <c r="U152" s="43" t="str">
        <f t="shared" si="37"/>
        <v>OK</v>
      </c>
      <c r="V152" s="43" t="str">
        <f t="shared" si="37"/>
        <v>OK</v>
      </c>
      <c r="W152" s="43" t="str">
        <f t="shared" si="37"/>
        <v>OK</v>
      </c>
      <c r="X152" s="43" t="str">
        <f t="shared" si="37"/>
        <v>OK</v>
      </c>
      <c r="Y152" s="43" t="str">
        <f t="shared" si="37"/>
        <v>OK</v>
      </c>
      <c r="Z152" s="43" t="str">
        <f t="shared" si="37"/>
        <v>OK</v>
      </c>
      <c r="AA152" s="43" t="str">
        <f t="shared" si="37"/>
        <v>OK</v>
      </c>
      <c r="AB152" s="43" t="str">
        <f t="shared" si="37"/>
        <v>OK</v>
      </c>
      <c r="AC152" s="43" t="str">
        <f t="shared" si="37"/>
        <v>OK</v>
      </c>
      <c r="AD152" s="43" t="str">
        <f t="shared" si="37"/>
        <v>OK</v>
      </c>
      <c r="AE152" s="43" t="str">
        <f t="shared" si="37"/>
        <v>OK</v>
      </c>
      <c r="AF152" s="43" t="str">
        <f t="shared" si="37"/>
        <v>OK</v>
      </c>
      <c r="AG152" s="43" t="str">
        <f t="shared" si="37"/>
        <v>OK</v>
      </c>
      <c r="AH152" s="43" t="str">
        <f t="shared" si="37"/>
        <v>OK</v>
      </c>
      <c r="AI152" s="43" t="str">
        <f t="shared" si="37"/>
        <v>OK</v>
      </c>
      <c r="AJ152" s="43" t="str">
        <f t="shared" si="37"/>
        <v>OK</v>
      </c>
      <c r="AK152" s="43" t="str">
        <f t="shared" si="37"/>
        <v>OK</v>
      </c>
      <c r="AL152" s="43" t="str">
        <f t="shared" si="37"/>
        <v>OK</v>
      </c>
      <c r="AM152" s="43" t="str">
        <f t="shared" si="37"/>
        <v>OK</v>
      </c>
      <c r="AN152" s="43" t="str">
        <f t="shared" si="37"/>
        <v>OK</v>
      </c>
      <c r="AO152" s="43" t="str">
        <f t="shared" si="37"/>
        <v>OK</v>
      </c>
      <c r="AP152" s="43" t="str">
        <f t="shared" si="37"/>
        <v>OK</v>
      </c>
      <c r="AQ152" s="43" t="str">
        <f t="shared" si="37"/>
        <v>OK</v>
      </c>
      <c r="AR152" s="43" t="str">
        <f t="shared" si="37"/>
        <v>OK</v>
      </c>
      <c r="AS152" s="43" t="str">
        <f t="shared" si="37"/>
        <v>OK</v>
      </c>
      <c r="AT152" s="43" t="str">
        <f t="shared" si="37"/>
        <v>OK</v>
      </c>
      <c r="AU152" s="43" t="str">
        <f t="shared" si="37"/>
        <v>OK</v>
      </c>
      <c r="AV152" s="43" t="str">
        <f t="shared" si="37"/>
        <v>OK</v>
      </c>
      <c r="AW152" s="43" t="str">
        <f t="shared" si="37"/>
        <v>OK</v>
      </c>
      <c r="AX152" s="43" t="str">
        <f t="shared" si="37"/>
        <v>OK</v>
      </c>
      <c r="AY152" s="43" t="str">
        <f t="shared" si="37"/>
        <v>OK</v>
      </c>
      <c r="AZ152" s="43" t="str">
        <f t="shared" si="37"/>
        <v>OK</v>
      </c>
      <c r="BA152" s="44" t="str">
        <f t="shared" si="37"/>
        <v>OK</v>
      </c>
    </row>
    <row r="153" spans="1:53" s="246" customFormat="1" outlineLevel="1">
      <c r="A153" s="244"/>
      <c r="B153" s="244"/>
      <c r="C153" s="241" t="s">
        <v>109</v>
      </c>
      <c r="D153" s="121" t="s">
        <v>109</v>
      </c>
      <c r="E153" s="245" t="s">
        <v>149</v>
      </c>
      <c r="F153" s="326" t="s">
        <v>27</v>
      </c>
      <c r="G153" s="242" t="s">
        <v>27</v>
      </c>
      <c r="H153" s="242" t="s">
        <v>27</v>
      </c>
      <c r="I153" s="242" t="s">
        <v>27</v>
      </c>
      <c r="J153" s="242" t="s">
        <v>27</v>
      </c>
      <c r="K153" s="242" t="s">
        <v>27</v>
      </c>
      <c r="L153" s="242" t="s">
        <v>27</v>
      </c>
      <c r="M153" s="327" t="s">
        <v>27</v>
      </c>
      <c r="N153" s="334" t="str">
        <f t="shared" ref="N153:BA153" si="38">IF(N18&gt;=N19,"OK","BŁĄD")</f>
        <v>OK</v>
      </c>
      <c r="O153" s="43" t="str">
        <f t="shared" si="38"/>
        <v>OK</v>
      </c>
      <c r="P153" s="43" t="str">
        <f t="shared" si="38"/>
        <v>OK</v>
      </c>
      <c r="Q153" s="43" t="str">
        <f t="shared" si="38"/>
        <v>OK</v>
      </c>
      <c r="R153" s="43" t="str">
        <f t="shared" si="38"/>
        <v>OK</v>
      </c>
      <c r="S153" s="43" t="str">
        <f t="shared" si="38"/>
        <v>OK</v>
      </c>
      <c r="T153" s="43" t="str">
        <f t="shared" si="38"/>
        <v>OK</v>
      </c>
      <c r="U153" s="43" t="str">
        <f t="shared" si="38"/>
        <v>OK</v>
      </c>
      <c r="V153" s="43" t="str">
        <f t="shared" si="38"/>
        <v>OK</v>
      </c>
      <c r="W153" s="43" t="str">
        <f t="shared" si="38"/>
        <v>OK</v>
      </c>
      <c r="X153" s="43" t="str">
        <f t="shared" si="38"/>
        <v>OK</v>
      </c>
      <c r="Y153" s="43" t="str">
        <f t="shared" si="38"/>
        <v>OK</v>
      </c>
      <c r="Z153" s="43" t="str">
        <f t="shared" si="38"/>
        <v>OK</v>
      </c>
      <c r="AA153" s="43" t="str">
        <f t="shared" si="38"/>
        <v>OK</v>
      </c>
      <c r="AB153" s="43" t="str">
        <f t="shared" si="38"/>
        <v>OK</v>
      </c>
      <c r="AC153" s="43" t="str">
        <f t="shared" si="38"/>
        <v>OK</v>
      </c>
      <c r="AD153" s="43" t="str">
        <f t="shared" si="38"/>
        <v>OK</v>
      </c>
      <c r="AE153" s="43" t="str">
        <f t="shared" si="38"/>
        <v>OK</v>
      </c>
      <c r="AF153" s="43" t="str">
        <f t="shared" si="38"/>
        <v>OK</v>
      </c>
      <c r="AG153" s="43" t="str">
        <f t="shared" si="38"/>
        <v>OK</v>
      </c>
      <c r="AH153" s="43" t="str">
        <f t="shared" si="38"/>
        <v>OK</v>
      </c>
      <c r="AI153" s="43" t="str">
        <f t="shared" si="38"/>
        <v>OK</v>
      </c>
      <c r="AJ153" s="43" t="str">
        <f t="shared" si="38"/>
        <v>OK</v>
      </c>
      <c r="AK153" s="43" t="str">
        <f t="shared" si="38"/>
        <v>OK</v>
      </c>
      <c r="AL153" s="43" t="str">
        <f t="shared" si="38"/>
        <v>OK</v>
      </c>
      <c r="AM153" s="43" t="str">
        <f t="shared" si="38"/>
        <v>OK</v>
      </c>
      <c r="AN153" s="43" t="str">
        <f t="shared" si="38"/>
        <v>OK</v>
      </c>
      <c r="AO153" s="43" t="str">
        <f t="shared" si="38"/>
        <v>OK</v>
      </c>
      <c r="AP153" s="43" t="str">
        <f t="shared" si="38"/>
        <v>OK</v>
      </c>
      <c r="AQ153" s="43" t="str">
        <f t="shared" si="38"/>
        <v>OK</v>
      </c>
      <c r="AR153" s="43" t="str">
        <f t="shared" si="38"/>
        <v>OK</v>
      </c>
      <c r="AS153" s="43" t="str">
        <f t="shared" si="38"/>
        <v>OK</v>
      </c>
      <c r="AT153" s="43" t="str">
        <f t="shared" si="38"/>
        <v>OK</v>
      </c>
      <c r="AU153" s="43" t="str">
        <f t="shared" si="38"/>
        <v>OK</v>
      </c>
      <c r="AV153" s="43" t="str">
        <f t="shared" si="38"/>
        <v>OK</v>
      </c>
      <c r="AW153" s="43" t="str">
        <f t="shared" si="38"/>
        <v>OK</v>
      </c>
      <c r="AX153" s="43" t="str">
        <f t="shared" si="38"/>
        <v>OK</v>
      </c>
      <c r="AY153" s="43" t="str">
        <f t="shared" si="38"/>
        <v>OK</v>
      </c>
      <c r="AZ153" s="43" t="str">
        <f t="shared" si="38"/>
        <v>OK</v>
      </c>
      <c r="BA153" s="44" t="str">
        <f t="shared" si="38"/>
        <v>OK</v>
      </c>
    </row>
    <row r="154" spans="1:53" s="246" customFormat="1" outlineLevel="1">
      <c r="A154" s="244"/>
      <c r="B154" s="244"/>
      <c r="C154" s="241" t="s">
        <v>110</v>
      </c>
      <c r="D154" s="121" t="s">
        <v>110</v>
      </c>
      <c r="E154" s="245" t="s">
        <v>150</v>
      </c>
      <c r="F154" s="326" t="s">
        <v>27</v>
      </c>
      <c r="G154" s="242" t="s">
        <v>27</v>
      </c>
      <c r="H154" s="242" t="s">
        <v>27</v>
      </c>
      <c r="I154" s="242" t="s">
        <v>27</v>
      </c>
      <c r="J154" s="242" t="s">
        <v>27</v>
      </c>
      <c r="K154" s="242" t="s">
        <v>27</v>
      </c>
      <c r="L154" s="242" t="s">
        <v>27</v>
      </c>
      <c r="M154" s="327" t="s">
        <v>27</v>
      </c>
      <c r="N154" s="334" t="str">
        <f t="shared" ref="N154:BA154" si="39">IF(N18&gt;=N20,"OK","BŁĄD")</f>
        <v>OK</v>
      </c>
      <c r="O154" s="43" t="str">
        <f t="shared" si="39"/>
        <v>OK</v>
      </c>
      <c r="P154" s="43" t="str">
        <f t="shared" si="39"/>
        <v>OK</v>
      </c>
      <c r="Q154" s="43" t="str">
        <f t="shared" si="39"/>
        <v>OK</v>
      </c>
      <c r="R154" s="43" t="str">
        <f t="shared" si="39"/>
        <v>OK</v>
      </c>
      <c r="S154" s="43" t="str">
        <f t="shared" si="39"/>
        <v>OK</v>
      </c>
      <c r="T154" s="43" t="str">
        <f t="shared" si="39"/>
        <v>OK</v>
      </c>
      <c r="U154" s="43" t="str">
        <f t="shared" si="39"/>
        <v>OK</v>
      </c>
      <c r="V154" s="43" t="str">
        <f t="shared" si="39"/>
        <v>OK</v>
      </c>
      <c r="W154" s="43" t="str">
        <f t="shared" si="39"/>
        <v>OK</v>
      </c>
      <c r="X154" s="43" t="str">
        <f t="shared" si="39"/>
        <v>OK</v>
      </c>
      <c r="Y154" s="43" t="str">
        <f t="shared" si="39"/>
        <v>OK</v>
      </c>
      <c r="Z154" s="43" t="str">
        <f t="shared" si="39"/>
        <v>OK</v>
      </c>
      <c r="AA154" s="43" t="str">
        <f t="shared" si="39"/>
        <v>OK</v>
      </c>
      <c r="AB154" s="43" t="str">
        <f t="shared" si="39"/>
        <v>OK</v>
      </c>
      <c r="AC154" s="43" t="str">
        <f t="shared" si="39"/>
        <v>OK</v>
      </c>
      <c r="AD154" s="43" t="str">
        <f t="shared" si="39"/>
        <v>OK</v>
      </c>
      <c r="AE154" s="43" t="str">
        <f t="shared" si="39"/>
        <v>OK</v>
      </c>
      <c r="AF154" s="43" t="str">
        <f t="shared" si="39"/>
        <v>OK</v>
      </c>
      <c r="AG154" s="43" t="str">
        <f t="shared" si="39"/>
        <v>OK</v>
      </c>
      <c r="AH154" s="43" t="str">
        <f t="shared" si="39"/>
        <v>OK</v>
      </c>
      <c r="AI154" s="43" t="str">
        <f t="shared" si="39"/>
        <v>OK</v>
      </c>
      <c r="AJ154" s="43" t="str">
        <f t="shared" si="39"/>
        <v>OK</v>
      </c>
      <c r="AK154" s="43" t="str">
        <f t="shared" si="39"/>
        <v>OK</v>
      </c>
      <c r="AL154" s="43" t="str">
        <f t="shared" si="39"/>
        <v>OK</v>
      </c>
      <c r="AM154" s="43" t="str">
        <f t="shared" si="39"/>
        <v>OK</v>
      </c>
      <c r="AN154" s="43" t="str">
        <f t="shared" si="39"/>
        <v>OK</v>
      </c>
      <c r="AO154" s="43" t="str">
        <f t="shared" si="39"/>
        <v>OK</v>
      </c>
      <c r="AP154" s="43" t="str">
        <f t="shared" si="39"/>
        <v>OK</v>
      </c>
      <c r="AQ154" s="43" t="str">
        <f t="shared" si="39"/>
        <v>OK</v>
      </c>
      <c r="AR154" s="43" t="str">
        <f t="shared" si="39"/>
        <v>OK</v>
      </c>
      <c r="AS154" s="43" t="str">
        <f t="shared" si="39"/>
        <v>OK</v>
      </c>
      <c r="AT154" s="43" t="str">
        <f t="shared" si="39"/>
        <v>OK</v>
      </c>
      <c r="AU154" s="43" t="str">
        <f t="shared" si="39"/>
        <v>OK</v>
      </c>
      <c r="AV154" s="43" t="str">
        <f t="shared" si="39"/>
        <v>OK</v>
      </c>
      <c r="AW154" s="43" t="str">
        <f t="shared" si="39"/>
        <v>OK</v>
      </c>
      <c r="AX154" s="43" t="str">
        <f t="shared" si="39"/>
        <v>OK</v>
      </c>
      <c r="AY154" s="43" t="str">
        <f t="shared" si="39"/>
        <v>OK</v>
      </c>
      <c r="AZ154" s="43" t="str">
        <f t="shared" si="39"/>
        <v>OK</v>
      </c>
      <c r="BA154" s="44" t="str">
        <f t="shared" si="39"/>
        <v>OK</v>
      </c>
    </row>
    <row r="155" spans="1:53" s="246" customFormat="1" outlineLevel="1">
      <c r="A155" s="244"/>
      <c r="B155" s="244"/>
      <c r="C155" s="241" t="s">
        <v>111</v>
      </c>
      <c r="D155" s="121" t="s">
        <v>383</v>
      </c>
      <c r="E155" s="245" t="s">
        <v>382</v>
      </c>
      <c r="F155" s="326" t="s">
        <v>27</v>
      </c>
      <c r="G155" s="242" t="s">
        <v>27</v>
      </c>
      <c r="H155" s="242" t="s">
        <v>27</v>
      </c>
      <c r="I155" s="242" t="s">
        <v>27</v>
      </c>
      <c r="J155" s="242" t="s">
        <v>27</v>
      </c>
      <c r="K155" s="242" t="s">
        <v>27</v>
      </c>
      <c r="L155" s="242" t="s">
        <v>27</v>
      </c>
      <c r="M155" s="327" t="s">
        <v>27</v>
      </c>
      <c r="N155" s="334" t="str">
        <f t="shared" ref="N155:BA155" si="40">IF(N18&gt;=N81,"OK","BŁĄD")</f>
        <v>OK</v>
      </c>
      <c r="O155" s="43" t="str">
        <f t="shared" si="40"/>
        <v>OK</v>
      </c>
      <c r="P155" s="43" t="str">
        <f t="shared" si="40"/>
        <v>OK</v>
      </c>
      <c r="Q155" s="43" t="str">
        <f t="shared" si="40"/>
        <v>OK</v>
      </c>
      <c r="R155" s="43" t="str">
        <f t="shared" si="40"/>
        <v>OK</v>
      </c>
      <c r="S155" s="43" t="str">
        <f t="shared" si="40"/>
        <v>OK</v>
      </c>
      <c r="T155" s="43" t="str">
        <f t="shared" si="40"/>
        <v>OK</v>
      </c>
      <c r="U155" s="43" t="str">
        <f t="shared" si="40"/>
        <v>OK</v>
      </c>
      <c r="V155" s="43" t="str">
        <f t="shared" si="40"/>
        <v>OK</v>
      </c>
      <c r="W155" s="43" t="str">
        <f t="shared" si="40"/>
        <v>OK</v>
      </c>
      <c r="X155" s="43" t="str">
        <f t="shared" si="40"/>
        <v>OK</v>
      </c>
      <c r="Y155" s="43" t="str">
        <f t="shared" si="40"/>
        <v>OK</v>
      </c>
      <c r="Z155" s="43" t="str">
        <f t="shared" si="40"/>
        <v>OK</v>
      </c>
      <c r="AA155" s="43" t="str">
        <f t="shared" si="40"/>
        <v>OK</v>
      </c>
      <c r="AB155" s="43" t="str">
        <f t="shared" si="40"/>
        <v>OK</v>
      </c>
      <c r="AC155" s="43" t="str">
        <f t="shared" si="40"/>
        <v>OK</v>
      </c>
      <c r="AD155" s="43" t="str">
        <f t="shared" si="40"/>
        <v>OK</v>
      </c>
      <c r="AE155" s="43" t="str">
        <f t="shared" si="40"/>
        <v>OK</v>
      </c>
      <c r="AF155" s="43" t="str">
        <f t="shared" si="40"/>
        <v>OK</v>
      </c>
      <c r="AG155" s="43" t="str">
        <f t="shared" si="40"/>
        <v>OK</v>
      </c>
      <c r="AH155" s="43" t="str">
        <f t="shared" si="40"/>
        <v>OK</v>
      </c>
      <c r="AI155" s="43" t="str">
        <f t="shared" si="40"/>
        <v>OK</v>
      </c>
      <c r="AJ155" s="43" t="str">
        <f t="shared" si="40"/>
        <v>OK</v>
      </c>
      <c r="AK155" s="43" t="str">
        <f t="shared" si="40"/>
        <v>OK</v>
      </c>
      <c r="AL155" s="43" t="str">
        <f t="shared" si="40"/>
        <v>OK</v>
      </c>
      <c r="AM155" s="43" t="str">
        <f t="shared" si="40"/>
        <v>OK</v>
      </c>
      <c r="AN155" s="43" t="str">
        <f t="shared" si="40"/>
        <v>OK</v>
      </c>
      <c r="AO155" s="43" t="str">
        <f t="shared" si="40"/>
        <v>OK</v>
      </c>
      <c r="AP155" s="43" t="str">
        <f t="shared" si="40"/>
        <v>OK</v>
      </c>
      <c r="AQ155" s="43" t="str">
        <f t="shared" si="40"/>
        <v>OK</v>
      </c>
      <c r="AR155" s="43" t="str">
        <f t="shared" si="40"/>
        <v>OK</v>
      </c>
      <c r="AS155" s="43" t="str">
        <f t="shared" si="40"/>
        <v>OK</v>
      </c>
      <c r="AT155" s="43" t="str">
        <f t="shared" si="40"/>
        <v>OK</v>
      </c>
      <c r="AU155" s="43" t="str">
        <f t="shared" si="40"/>
        <v>OK</v>
      </c>
      <c r="AV155" s="43" t="str">
        <f t="shared" si="40"/>
        <v>OK</v>
      </c>
      <c r="AW155" s="43" t="str">
        <f t="shared" si="40"/>
        <v>OK</v>
      </c>
      <c r="AX155" s="43" t="str">
        <f t="shared" si="40"/>
        <v>OK</v>
      </c>
      <c r="AY155" s="43" t="str">
        <f t="shared" si="40"/>
        <v>OK</v>
      </c>
      <c r="AZ155" s="43" t="str">
        <f t="shared" si="40"/>
        <v>OK</v>
      </c>
      <c r="BA155" s="44" t="str">
        <f t="shared" si="40"/>
        <v>OK</v>
      </c>
    </row>
    <row r="156" spans="1:53" s="246" customFormat="1" outlineLevel="1">
      <c r="A156" s="244"/>
      <c r="B156" s="244"/>
      <c r="C156" s="241" t="s">
        <v>125</v>
      </c>
      <c r="D156" s="121" t="s">
        <v>125</v>
      </c>
      <c r="E156" s="245" t="s">
        <v>151</v>
      </c>
      <c r="F156" s="326" t="s">
        <v>27</v>
      </c>
      <c r="G156" s="242" t="s">
        <v>27</v>
      </c>
      <c r="H156" s="242" t="s">
        <v>27</v>
      </c>
      <c r="I156" s="242" t="s">
        <v>27</v>
      </c>
      <c r="J156" s="242" t="s">
        <v>27</v>
      </c>
      <c r="K156" s="242" t="s">
        <v>27</v>
      </c>
      <c r="L156" s="242" t="s">
        <v>27</v>
      </c>
      <c r="M156" s="327" t="s">
        <v>27</v>
      </c>
      <c r="N156" s="334" t="str">
        <f t="shared" ref="N156:BA156" si="41">IF(ROUND(N22-(N23+N24+N26),2)&gt;=0,"OK","BŁĄD")</f>
        <v>OK</v>
      </c>
      <c r="O156" s="43" t="str">
        <f t="shared" si="41"/>
        <v>OK</v>
      </c>
      <c r="P156" s="43" t="str">
        <f t="shared" si="41"/>
        <v>OK</v>
      </c>
      <c r="Q156" s="43" t="str">
        <f t="shared" si="41"/>
        <v>OK</v>
      </c>
      <c r="R156" s="43" t="str">
        <f t="shared" si="41"/>
        <v>OK</v>
      </c>
      <c r="S156" s="43" t="str">
        <f t="shared" si="41"/>
        <v>OK</v>
      </c>
      <c r="T156" s="43" t="str">
        <f t="shared" si="41"/>
        <v>OK</v>
      </c>
      <c r="U156" s="43" t="str">
        <f t="shared" si="41"/>
        <v>OK</v>
      </c>
      <c r="V156" s="43" t="str">
        <f t="shared" si="41"/>
        <v>OK</v>
      </c>
      <c r="W156" s="43" t="str">
        <f t="shared" si="41"/>
        <v>OK</v>
      </c>
      <c r="X156" s="43" t="str">
        <f t="shared" si="41"/>
        <v>OK</v>
      </c>
      <c r="Y156" s="43" t="str">
        <f t="shared" si="41"/>
        <v>OK</v>
      </c>
      <c r="Z156" s="43" t="str">
        <f t="shared" si="41"/>
        <v>OK</v>
      </c>
      <c r="AA156" s="43" t="str">
        <f t="shared" si="41"/>
        <v>OK</v>
      </c>
      <c r="AB156" s="43" t="str">
        <f t="shared" si="41"/>
        <v>OK</v>
      </c>
      <c r="AC156" s="43" t="str">
        <f t="shared" si="41"/>
        <v>OK</v>
      </c>
      <c r="AD156" s="43" t="str">
        <f t="shared" si="41"/>
        <v>OK</v>
      </c>
      <c r="AE156" s="43" t="str">
        <f t="shared" si="41"/>
        <v>OK</v>
      </c>
      <c r="AF156" s="43" t="str">
        <f t="shared" si="41"/>
        <v>OK</v>
      </c>
      <c r="AG156" s="43" t="str">
        <f t="shared" si="41"/>
        <v>OK</v>
      </c>
      <c r="AH156" s="43" t="str">
        <f t="shared" si="41"/>
        <v>OK</v>
      </c>
      <c r="AI156" s="43" t="str">
        <f t="shared" si="41"/>
        <v>OK</v>
      </c>
      <c r="AJ156" s="43" t="str">
        <f t="shared" si="41"/>
        <v>OK</v>
      </c>
      <c r="AK156" s="43" t="str">
        <f t="shared" si="41"/>
        <v>OK</v>
      </c>
      <c r="AL156" s="43" t="str">
        <f t="shared" si="41"/>
        <v>OK</v>
      </c>
      <c r="AM156" s="43" t="str">
        <f t="shared" si="41"/>
        <v>OK</v>
      </c>
      <c r="AN156" s="43" t="str">
        <f t="shared" si="41"/>
        <v>OK</v>
      </c>
      <c r="AO156" s="43" t="str">
        <f t="shared" si="41"/>
        <v>OK</v>
      </c>
      <c r="AP156" s="43" t="str">
        <f t="shared" si="41"/>
        <v>OK</v>
      </c>
      <c r="AQ156" s="43" t="str">
        <f t="shared" si="41"/>
        <v>OK</v>
      </c>
      <c r="AR156" s="43" t="str">
        <f t="shared" si="41"/>
        <v>OK</v>
      </c>
      <c r="AS156" s="43" t="str">
        <f t="shared" si="41"/>
        <v>OK</v>
      </c>
      <c r="AT156" s="43" t="str">
        <f t="shared" si="41"/>
        <v>OK</v>
      </c>
      <c r="AU156" s="43" t="str">
        <f t="shared" si="41"/>
        <v>OK</v>
      </c>
      <c r="AV156" s="43" t="str">
        <f t="shared" si="41"/>
        <v>OK</v>
      </c>
      <c r="AW156" s="43" t="str">
        <f t="shared" si="41"/>
        <v>OK</v>
      </c>
      <c r="AX156" s="43" t="str">
        <f t="shared" si="41"/>
        <v>OK</v>
      </c>
      <c r="AY156" s="43" t="str">
        <f t="shared" si="41"/>
        <v>OK</v>
      </c>
      <c r="AZ156" s="43" t="str">
        <f t="shared" si="41"/>
        <v>OK</v>
      </c>
      <c r="BA156" s="44" t="str">
        <f t="shared" si="41"/>
        <v>OK</v>
      </c>
    </row>
    <row r="157" spans="1:53" s="246" customFormat="1" outlineLevel="1">
      <c r="A157" s="244"/>
      <c r="B157" s="244"/>
      <c r="C157" s="241" t="s">
        <v>126</v>
      </c>
      <c r="D157" s="121" t="s">
        <v>386</v>
      </c>
      <c r="E157" s="245" t="s">
        <v>421</v>
      </c>
      <c r="F157" s="326" t="s">
        <v>27</v>
      </c>
      <c r="G157" s="242" t="s">
        <v>27</v>
      </c>
      <c r="H157" s="242" t="s">
        <v>27</v>
      </c>
      <c r="I157" s="242" t="s">
        <v>27</v>
      </c>
      <c r="J157" s="242" t="s">
        <v>27</v>
      </c>
      <c r="K157" s="242" t="s">
        <v>27</v>
      </c>
      <c r="L157" s="242" t="s">
        <v>27</v>
      </c>
      <c r="M157" s="327" t="s">
        <v>27</v>
      </c>
      <c r="N157" s="334" t="str">
        <f t="shared" ref="N157:BA157" si="42">IF(N22&gt;=N84,"OK","BŁĄD")</f>
        <v>OK</v>
      </c>
      <c r="O157" s="43" t="str">
        <f t="shared" si="42"/>
        <v>OK</v>
      </c>
      <c r="P157" s="43" t="str">
        <f t="shared" si="42"/>
        <v>OK</v>
      </c>
      <c r="Q157" s="43" t="str">
        <f t="shared" si="42"/>
        <v>OK</v>
      </c>
      <c r="R157" s="43" t="str">
        <f t="shared" si="42"/>
        <v>OK</v>
      </c>
      <c r="S157" s="43" t="str">
        <f t="shared" si="42"/>
        <v>OK</v>
      </c>
      <c r="T157" s="43" t="str">
        <f t="shared" si="42"/>
        <v>OK</v>
      </c>
      <c r="U157" s="43" t="str">
        <f t="shared" si="42"/>
        <v>OK</v>
      </c>
      <c r="V157" s="43" t="str">
        <f t="shared" si="42"/>
        <v>OK</v>
      </c>
      <c r="W157" s="43" t="str">
        <f t="shared" si="42"/>
        <v>OK</v>
      </c>
      <c r="X157" s="43" t="str">
        <f t="shared" si="42"/>
        <v>OK</v>
      </c>
      <c r="Y157" s="43" t="str">
        <f t="shared" si="42"/>
        <v>OK</v>
      </c>
      <c r="Z157" s="43" t="str">
        <f t="shared" si="42"/>
        <v>OK</v>
      </c>
      <c r="AA157" s="43" t="str">
        <f t="shared" si="42"/>
        <v>OK</v>
      </c>
      <c r="AB157" s="43" t="str">
        <f t="shared" si="42"/>
        <v>OK</v>
      </c>
      <c r="AC157" s="43" t="str">
        <f t="shared" si="42"/>
        <v>OK</v>
      </c>
      <c r="AD157" s="43" t="str">
        <f t="shared" si="42"/>
        <v>OK</v>
      </c>
      <c r="AE157" s="43" t="str">
        <f t="shared" si="42"/>
        <v>OK</v>
      </c>
      <c r="AF157" s="43" t="str">
        <f t="shared" si="42"/>
        <v>OK</v>
      </c>
      <c r="AG157" s="43" t="str">
        <f t="shared" si="42"/>
        <v>OK</v>
      </c>
      <c r="AH157" s="43" t="str">
        <f t="shared" si="42"/>
        <v>OK</v>
      </c>
      <c r="AI157" s="43" t="str">
        <f t="shared" si="42"/>
        <v>OK</v>
      </c>
      <c r="AJ157" s="43" t="str">
        <f t="shared" si="42"/>
        <v>OK</v>
      </c>
      <c r="AK157" s="43" t="str">
        <f t="shared" si="42"/>
        <v>OK</v>
      </c>
      <c r="AL157" s="43" t="str">
        <f t="shared" si="42"/>
        <v>OK</v>
      </c>
      <c r="AM157" s="43" t="str">
        <f t="shared" si="42"/>
        <v>OK</v>
      </c>
      <c r="AN157" s="43" t="str">
        <f t="shared" si="42"/>
        <v>OK</v>
      </c>
      <c r="AO157" s="43" t="str">
        <f t="shared" si="42"/>
        <v>OK</v>
      </c>
      <c r="AP157" s="43" t="str">
        <f t="shared" si="42"/>
        <v>OK</v>
      </c>
      <c r="AQ157" s="43" t="str">
        <f t="shared" si="42"/>
        <v>OK</v>
      </c>
      <c r="AR157" s="43" t="str">
        <f t="shared" si="42"/>
        <v>OK</v>
      </c>
      <c r="AS157" s="43" t="str">
        <f t="shared" si="42"/>
        <v>OK</v>
      </c>
      <c r="AT157" s="43" t="str">
        <f t="shared" si="42"/>
        <v>OK</v>
      </c>
      <c r="AU157" s="43" t="str">
        <f t="shared" si="42"/>
        <v>OK</v>
      </c>
      <c r="AV157" s="43" t="str">
        <f t="shared" si="42"/>
        <v>OK</v>
      </c>
      <c r="AW157" s="43" t="str">
        <f t="shared" si="42"/>
        <v>OK</v>
      </c>
      <c r="AX157" s="43" t="str">
        <f t="shared" si="42"/>
        <v>OK</v>
      </c>
      <c r="AY157" s="43" t="str">
        <f t="shared" si="42"/>
        <v>OK</v>
      </c>
      <c r="AZ157" s="43" t="str">
        <f t="shared" si="42"/>
        <v>OK</v>
      </c>
      <c r="BA157" s="44" t="str">
        <f t="shared" si="42"/>
        <v>OK</v>
      </c>
    </row>
    <row r="158" spans="1:53" s="246" customFormat="1" outlineLevel="1">
      <c r="A158" s="244"/>
      <c r="B158" s="244"/>
      <c r="C158" s="241" t="s">
        <v>127</v>
      </c>
      <c r="D158" s="121" t="s">
        <v>387</v>
      </c>
      <c r="E158" s="245" t="s">
        <v>422</v>
      </c>
      <c r="F158" s="326" t="s">
        <v>27</v>
      </c>
      <c r="G158" s="242" t="s">
        <v>27</v>
      </c>
      <c r="H158" s="242" t="s">
        <v>27</v>
      </c>
      <c r="I158" s="242" t="s">
        <v>27</v>
      </c>
      <c r="J158" s="242" t="s">
        <v>27</v>
      </c>
      <c r="K158" s="242" t="s">
        <v>27</v>
      </c>
      <c r="L158" s="242" t="s">
        <v>27</v>
      </c>
      <c r="M158" s="327" t="s">
        <v>27</v>
      </c>
      <c r="N158" s="334" t="str">
        <f t="shared" ref="N158:BA158" si="43">IF(N22&gt;=N92,"OK","BŁĄD")</f>
        <v>OK</v>
      </c>
      <c r="O158" s="43" t="str">
        <f t="shared" si="43"/>
        <v>OK</v>
      </c>
      <c r="P158" s="43" t="str">
        <f t="shared" si="43"/>
        <v>OK</v>
      </c>
      <c r="Q158" s="43" t="str">
        <f t="shared" si="43"/>
        <v>OK</v>
      </c>
      <c r="R158" s="43" t="str">
        <f t="shared" si="43"/>
        <v>OK</v>
      </c>
      <c r="S158" s="43" t="str">
        <f t="shared" si="43"/>
        <v>OK</v>
      </c>
      <c r="T158" s="43" t="str">
        <f t="shared" si="43"/>
        <v>OK</v>
      </c>
      <c r="U158" s="43" t="str">
        <f t="shared" si="43"/>
        <v>OK</v>
      </c>
      <c r="V158" s="43" t="str">
        <f t="shared" si="43"/>
        <v>OK</v>
      </c>
      <c r="W158" s="43" t="str">
        <f t="shared" si="43"/>
        <v>OK</v>
      </c>
      <c r="X158" s="43" t="str">
        <f t="shared" si="43"/>
        <v>OK</v>
      </c>
      <c r="Y158" s="43" t="str">
        <f t="shared" si="43"/>
        <v>OK</v>
      </c>
      <c r="Z158" s="43" t="str">
        <f t="shared" si="43"/>
        <v>OK</v>
      </c>
      <c r="AA158" s="43" t="str">
        <f t="shared" si="43"/>
        <v>OK</v>
      </c>
      <c r="AB158" s="43" t="str">
        <f t="shared" si="43"/>
        <v>OK</v>
      </c>
      <c r="AC158" s="43" t="str">
        <f t="shared" si="43"/>
        <v>OK</v>
      </c>
      <c r="AD158" s="43" t="str">
        <f t="shared" si="43"/>
        <v>OK</v>
      </c>
      <c r="AE158" s="43" t="str">
        <f t="shared" si="43"/>
        <v>OK</v>
      </c>
      <c r="AF158" s="43" t="str">
        <f t="shared" si="43"/>
        <v>OK</v>
      </c>
      <c r="AG158" s="43" t="str">
        <f t="shared" si="43"/>
        <v>OK</v>
      </c>
      <c r="AH158" s="43" t="str">
        <f t="shared" si="43"/>
        <v>OK</v>
      </c>
      <c r="AI158" s="43" t="str">
        <f t="shared" si="43"/>
        <v>OK</v>
      </c>
      <c r="AJ158" s="43" t="str">
        <f t="shared" si="43"/>
        <v>OK</v>
      </c>
      <c r="AK158" s="43" t="str">
        <f t="shared" si="43"/>
        <v>OK</v>
      </c>
      <c r="AL158" s="43" t="str">
        <f t="shared" si="43"/>
        <v>OK</v>
      </c>
      <c r="AM158" s="43" t="str">
        <f t="shared" si="43"/>
        <v>OK</v>
      </c>
      <c r="AN158" s="43" t="str">
        <f t="shared" si="43"/>
        <v>OK</v>
      </c>
      <c r="AO158" s="43" t="str">
        <f t="shared" si="43"/>
        <v>OK</v>
      </c>
      <c r="AP158" s="43" t="str">
        <f t="shared" si="43"/>
        <v>OK</v>
      </c>
      <c r="AQ158" s="43" t="str">
        <f t="shared" si="43"/>
        <v>OK</v>
      </c>
      <c r="AR158" s="43" t="str">
        <f t="shared" si="43"/>
        <v>OK</v>
      </c>
      <c r="AS158" s="43" t="str">
        <f t="shared" si="43"/>
        <v>OK</v>
      </c>
      <c r="AT158" s="43" t="str">
        <f t="shared" si="43"/>
        <v>OK</v>
      </c>
      <c r="AU158" s="43" t="str">
        <f t="shared" si="43"/>
        <v>OK</v>
      </c>
      <c r="AV158" s="43" t="str">
        <f t="shared" si="43"/>
        <v>OK</v>
      </c>
      <c r="AW158" s="43" t="str">
        <f t="shared" si="43"/>
        <v>OK</v>
      </c>
      <c r="AX158" s="43" t="str">
        <f t="shared" si="43"/>
        <v>OK</v>
      </c>
      <c r="AY158" s="43" t="str">
        <f t="shared" si="43"/>
        <v>OK</v>
      </c>
      <c r="AZ158" s="43" t="str">
        <f t="shared" si="43"/>
        <v>OK</v>
      </c>
      <c r="BA158" s="44" t="str">
        <f t="shared" si="43"/>
        <v>OK</v>
      </c>
    </row>
    <row r="159" spans="1:53" s="246" customFormat="1" outlineLevel="1">
      <c r="A159" s="244"/>
      <c r="B159" s="244"/>
      <c r="C159" s="241" t="s">
        <v>128</v>
      </c>
      <c r="D159" s="121" t="s">
        <v>388</v>
      </c>
      <c r="E159" s="245" t="s">
        <v>423</v>
      </c>
      <c r="F159" s="326" t="s">
        <v>27</v>
      </c>
      <c r="G159" s="242" t="s">
        <v>27</v>
      </c>
      <c r="H159" s="242" t="s">
        <v>27</v>
      </c>
      <c r="I159" s="242" t="s">
        <v>27</v>
      </c>
      <c r="J159" s="242" t="s">
        <v>27</v>
      </c>
      <c r="K159" s="242" t="s">
        <v>27</v>
      </c>
      <c r="L159" s="242" t="s">
        <v>27</v>
      </c>
      <c r="M159" s="327" t="s">
        <v>27</v>
      </c>
      <c r="N159" s="334" t="str">
        <f t="shared" ref="N159:BA159" si="44">IF(N22&gt;=N94,"OK","BŁĄD")</f>
        <v>OK</v>
      </c>
      <c r="O159" s="43" t="str">
        <f t="shared" si="44"/>
        <v>OK</v>
      </c>
      <c r="P159" s="43" t="str">
        <f t="shared" si="44"/>
        <v>OK</v>
      </c>
      <c r="Q159" s="43" t="str">
        <f t="shared" si="44"/>
        <v>OK</v>
      </c>
      <c r="R159" s="43" t="str">
        <f t="shared" si="44"/>
        <v>OK</v>
      </c>
      <c r="S159" s="43" t="str">
        <f t="shared" si="44"/>
        <v>OK</v>
      </c>
      <c r="T159" s="43" t="str">
        <f t="shared" si="44"/>
        <v>OK</v>
      </c>
      <c r="U159" s="43" t="str">
        <f t="shared" si="44"/>
        <v>OK</v>
      </c>
      <c r="V159" s="43" t="str">
        <f t="shared" si="44"/>
        <v>OK</v>
      </c>
      <c r="W159" s="43" t="str">
        <f t="shared" si="44"/>
        <v>OK</v>
      </c>
      <c r="X159" s="43" t="str">
        <f t="shared" si="44"/>
        <v>OK</v>
      </c>
      <c r="Y159" s="43" t="str">
        <f t="shared" si="44"/>
        <v>OK</v>
      </c>
      <c r="Z159" s="43" t="str">
        <f t="shared" si="44"/>
        <v>OK</v>
      </c>
      <c r="AA159" s="43" t="str">
        <f t="shared" si="44"/>
        <v>OK</v>
      </c>
      <c r="AB159" s="43" t="str">
        <f t="shared" si="44"/>
        <v>OK</v>
      </c>
      <c r="AC159" s="43" t="str">
        <f t="shared" si="44"/>
        <v>OK</v>
      </c>
      <c r="AD159" s="43" t="str">
        <f t="shared" si="44"/>
        <v>OK</v>
      </c>
      <c r="AE159" s="43" t="str">
        <f t="shared" si="44"/>
        <v>OK</v>
      </c>
      <c r="AF159" s="43" t="str">
        <f t="shared" si="44"/>
        <v>OK</v>
      </c>
      <c r="AG159" s="43" t="str">
        <f t="shared" si="44"/>
        <v>OK</v>
      </c>
      <c r="AH159" s="43" t="str">
        <f t="shared" si="44"/>
        <v>OK</v>
      </c>
      <c r="AI159" s="43" t="str">
        <f t="shared" si="44"/>
        <v>OK</v>
      </c>
      <c r="AJ159" s="43" t="str">
        <f t="shared" si="44"/>
        <v>OK</v>
      </c>
      <c r="AK159" s="43" t="str">
        <f t="shared" si="44"/>
        <v>OK</v>
      </c>
      <c r="AL159" s="43" t="str">
        <f t="shared" si="44"/>
        <v>OK</v>
      </c>
      <c r="AM159" s="43" t="str">
        <f t="shared" si="44"/>
        <v>OK</v>
      </c>
      <c r="AN159" s="43" t="str">
        <f t="shared" si="44"/>
        <v>OK</v>
      </c>
      <c r="AO159" s="43" t="str">
        <f t="shared" si="44"/>
        <v>OK</v>
      </c>
      <c r="AP159" s="43" t="str">
        <f t="shared" si="44"/>
        <v>OK</v>
      </c>
      <c r="AQ159" s="43" t="str">
        <f t="shared" si="44"/>
        <v>OK</v>
      </c>
      <c r="AR159" s="43" t="str">
        <f t="shared" si="44"/>
        <v>OK</v>
      </c>
      <c r="AS159" s="43" t="str">
        <f t="shared" si="44"/>
        <v>OK</v>
      </c>
      <c r="AT159" s="43" t="str">
        <f t="shared" si="44"/>
        <v>OK</v>
      </c>
      <c r="AU159" s="43" t="str">
        <f t="shared" si="44"/>
        <v>OK</v>
      </c>
      <c r="AV159" s="43" t="str">
        <f t="shared" si="44"/>
        <v>OK</v>
      </c>
      <c r="AW159" s="43" t="str">
        <f t="shared" si="44"/>
        <v>OK</v>
      </c>
      <c r="AX159" s="43" t="str">
        <f t="shared" si="44"/>
        <v>OK</v>
      </c>
      <c r="AY159" s="43" t="str">
        <f t="shared" si="44"/>
        <v>OK</v>
      </c>
      <c r="AZ159" s="43" t="str">
        <f t="shared" si="44"/>
        <v>OK</v>
      </c>
      <c r="BA159" s="44" t="str">
        <f t="shared" si="44"/>
        <v>OK</v>
      </c>
    </row>
    <row r="160" spans="1:53" s="246" customFormat="1" outlineLevel="1">
      <c r="A160" s="244"/>
      <c r="B160" s="244"/>
      <c r="C160" s="241" t="s">
        <v>129</v>
      </c>
      <c r="D160" s="121" t="s">
        <v>389</v>
      </c>
      <c r="E160" s="245" t="s">
        <v>424</v>
      </c>
      <c r="F160" s="326" t="s">
        <v>27</v>
      </c>
      <c r="G160" s="242" t="s">
        <v>27</v>
      </c>
      <c r="H160" s="242" t="s">
        <v>27</v>
      </c>
      <c r="I160" s="242" t="s">
        <v>27</v>
      </c>
      <c r="J160" s="242" t="s">
        <v>27</v>
      </c>
      <c r="K160" s="242" t="s">
        <v>27</v>
      </c>
      <c r="L160" s="242" t="s">
        <v>27</v>
      </c>
      <c r="M160" s="327" t="s">
        <v>27</v>
      </c>
      <c r="N160" s="334" t="str">
        <f t="shared" ref="N160:BA160" si="45">IF(N22&gt;=N95,"OK","BŁĄD")</f>
        <v>OK</v>
      </c>
      <c r="O160" s="43" t="str">
        <f t="shared" si="45"/>
        <v>OK</v>
      </c>
      <c r="P160" s="43" t="str">
        <f t="shared" si="45"/>
        <v>OK</v>
      </c>
      <c r="Q160" s="43" t="str">
        <f t="shared" si="45"/>
        <v>OK</v>
      </c>
      <c r="R160" s="43" t="str">
        <f t="shared" si="45"/>
        <v>OK</v>
      </c>
      <c r="S160" s="43" t="str">
        <f t="shared" si="45"/>
        <v>OK</v>
      </c>
      <c r="T160" s="43" t="str">
        <f t="shared" si="45"/>
        <v>OK</v>
      </c>
      <c r="U160" s="43" t="str">
        <f t="shared" si="45"/>
        <v>OK</v>
      </c>
      <c r="V160" s="43" t="str">
        <f t="shared" si="45"/>
        <v>OK</v>
      </c>
      <c r="W160" s="43" t="str">
        <f t="shared" si="45"/>
        <v>OK</v>
      </c>
      <c r="X160" s="43" t="str">
        <f t="shared" si="45"/>
        <v>OK</v>
      </c>
      <c r="Y160" s="43" t="str">
        <f t="shared" si="45"/>
        <v>OK</v>
      </c>
      <c r="Z160" s="43" t="str">
        <f t="shared" si="45"/>
        <v>OK</v>
      </c>
      <c r="AA160" s="43" t="str">
        <f t="shared" si="45"/>
        <v>OK</v>
      </c>
      <c r="AB160" s="43" t="str">
        <f t="shared" si="45"/>
        <v>OK</v>
      </c>
      <c r="AC160" s="43" t="str">
        <f t="shared" si="45"/>
        <v>OK</v>
      </c>
      <c r="AD160" s="43" t="str">
        <f t="shared" si="45"/>
        <v>OK</v>
      </c>
      <c r="AE160" s="43" t="str">
        <f t="shared" si="45"/>
        <v>OK</v>
      </c>
      <c r="AF160" s="43" t="str">
        <f t="shared" si="45"/>
        <v>OK</v>
      </c>
      <c r="AG160" s="43" t="str">
        <f t="shared" si="45"/>
        <v>OK</v>
      </c>
      <c r="AH160" s="43" t="str">
        <f t="shared" si="45"/>
        <v>OK</v>
      </c>
      <c r="AI160" s="43" t="str">
        <f t="shared" si="45"/>
        <v>OK</v>
      </c>
      <c r="AJ160" s="43" t="str">
        <f t="shared" si="45"/>
        <v>OK</v>
      </c>
      <c r="AK160" s="43" t="str">
        <f t="shared" si="45"/>
        <v>OK</v>
      </c>
      <c r="AL160" s="43" t="str">
        <f t="shared" si="45"/>
        <v>OK</v>
      </c>
      <c r="AM160" s="43" t="str">
        <f t="shared" si="45"/>
        <v>OK</v>
      </c>
      <c r="AN160" s="43" t="str">
        <f t="shared" si="45"/>
        <v>OK</v>
      </c>
      <c r="AO160" s="43" t="str">
        <f t="shared" si="45"/>
        <v>OK</v>
      </c>
      <c r="AP160" s="43" t="str">
        <f t="shared" si="45"/>
        <v>OK</v>
      </c>
      <c r="AQ160" s="43" t="str">
        <f t="shared" si="45"/>
        <v>OK</v>
      </c>
      <c r="AR160" s="43" t="str">
        <f t="shared" si="45"/>
        <v>OK</v>
      </c>
      <c r="AS160" s="43" t="str">
        <f t="shared" si="45"/>
        <v>OK</v>
      </c>
      <c r="AT160" s="43" t="str">
        <f t="shared" si="45"/>
        <v>OK</v>
      </c>
      <c r="AU160" s="43" t="str">
        <f t="shared" si="45"/>
        <v>OK</v>
      </c>
      <c r="AV160" s="43" t="str">
        <f t="shared" si="45"/>
        <v>OK</v>
      </c>
      <c r="AW160" s="43" t="str">
        <f t="shared" si="45"/>
        <v>OK</v>
      </c>
      <c r="AX160" s="43" t="str">
        <f t="shared" si="45"/>
        <v>OK</v>
      </c>
      <c r="AY160" s="43" t="str">
        <f t="shared" si="45"/>
        <v>OK</v>
      </c>
      <c r="AZ160" s="43" t="str">
        <f t="shared" si="45"/>
        <v>OK</v>
      </c>
      <c r="BA160" s="44" t="str">
        <f t="shared" si="45"/>
        <v>OK</v>
      </c>
    </row>
    <row r="161" spans="1:53" s="246" customFormat="1" outlineLevel="1">
      <c r="A161" s="244"/>
      <c r="B161" s="244"/>
      <c r="C161" s="241" t="s">
        <v>129</v>
      </c>
      <c r="D161" s="121" t="s">
        <v>390</v>
      </c>
      <c r="E161" s="245" t="s">
        <v>425</v>
      </c>
      <c r="F161" s="326" t="s">
        <v>27</v>
      </c>
      <c r="G161" s="242" t="s">
        <v>27</v>
      </c>
      <c r="H161" s="242" t="s">
        <v>27</v>
      </c>
      <c r="I161" s="242" t="s">
        <v>27</v>
      </c>
      <c r="J161" s="242" t="s">
        <v>27</v>
      </c>
      <c r="K161" s="242" t="s">
        <v>27</v>
      </c>
      <c r="L161" s="242" t="s">
        <v>27</v>
      </c>
      <c r="M161" s="327" t="s">
        <v>27</v>
      </c>
      <c r="N161" s="334" t="str">
        <f t="shared" ref="N161:BA161" si="46">IF(N22&gt;=N103,"OK","BŁĄD")</f>
        <v>OK</v>
      </c>
      <c r="O161" s="43" t="str">
        <f t="shared" si="46"/>
        <v>OK</v>
      </c>
      <c r="P161" s="43" t="str">
        <f t="shared" si="46"/>
        <v>OK</v>
      </c>
      <c r="Q161" s="43" t="str">
        <f t="shared" si="46"/>
        <v>OK</v>
      </c>
      <c r="R161" s="43" t="str">
        <f t="shared" si="46"/>
        <v>OK</v>
      </c>
      <c r="S161" s="43" t="str">
        <f t="shared" si="46"/>
        <v>OK</v>
      </c>
      <c r="T161" s="43" t="str">
        <f t="shared" si="46"/>
        <v>OK</v>
      </c>
      <c r="U161" s="43" t="str">
        <f t="shared" si="46"/>
        <v>OK</v>
      </c>
      <c r="V161" s="43" t="str">
        <f t="shared" si="46"/>
        <v>OK</v>
      </c>
      <c r="W161" s="43" t="str">
        <f t="shared" si="46"/>
        <v>OK</v>
      </c>
      <c r="X161" s="43" t="str">
        <f t="shared" si="46"/>
        <v>OK</v>
      </c>
      <c r="Y161" s="43" t="str">
        <f t="shared" si="46"/>
        <v>OK</v>
      </c>
      <c r="Z161" s="43" t="str">
        <f t="shared" si="46"/>
        <v>OK</v>
      </c>
      <c r="AA161" s="43" t="str">
        <f t="shared" si="46"/>
        <v>OK</v>
      </c>
      <c r="AB161" s="43" t="str">
        <f t="shared" si="46"/>
        <v>OK</v>
      </c>
      <c r="AC161" s="43" t="str">
        <f t="shared" si="46"/>
        <v>OK</v>
      </c>
      <c r="AD161" s="43" t="str">
        <f t="shared" si="46"/>
        <v>OK</v>
      </c>
      <c r="AE161" s="43" t="str">
        <f t="shared" si="46"/>
        <v>OK</v>
      </c>
      <c r="AF161" s="43" t="str">
        <f t="shared" si="46"/>
        <v>OK</v>
      </c>
      <c r="AG161" s="43" t="str">
        <f t="shared" si="46"/>
        <v>OK</v>
      </c>
      <c r="AH161" s="43" t="str">
        <f t="shared" si="46"/>
        <v>OK</v>
      </c>
      <c r="AI161" s="43" t="str">
        <f t="shared" si="46"/>
        <v>OK</v>
      </c>
      <c r="AJ161" s="43" t="str">
        <f t="shared" si="46"/>
        <v>OK</v>
      </c>
      <c r="AK161" s="43" t="str">
        <f t="shared" si="46"/>
        <v>OK</v>
      </c>
      <c r="AL161" s="43" t="str">
        <f t="shared" si="46"/>
        <v>OK</v>
      </c>
      <c r="AM161" s="43" t="str">
        <f t="shared" si="46"/>
        <v>OK</v>
      </c>
      <c r="AN161" s="43" t="str">
        <f t="shared" si="46"/>
        <v>OK</v>
      </c>
      <c r="AO161" s="43" t="str">
        <f t="shared" si="46"/>
        <v>OK</v>
      </c>
      <c r="AP161" s="43" t="str">
        <f t="shared" si="46"/>
        <v>OK</v>
      </c>
      <c r="AQ161" s="43" t="str">
        <f t="shared" si="46"/>
        <v>OK</v>
      </c>
      <c r="AR161" s="43" t="str">
        <f t="shared" si="46"/>
        <v>OK</v>
      </c>
      <c r="AS161" s="43" t="str">
        <f t="shared" si="46"/>
        <v>OK</v>
      </c>
      <c r="AT161" s="43" t="str">
        <f t="shared" si="46"/>
        <v>OK</v>
      </c>
      <c r="AU161" s="43" t="str">
        <f t="shared" si="46"/>
        <v>OK</v>
      </c>
      <c r="AV161" s="43" t="str">
        <f t="shared" si="46"/>
        <v>OK</v>
      </c>
      <c r="AW161" s="43" t="str">
        <f t="shared" si="46"/>
        <v>OK</v>
      </c>
      <c r="AX161" s="43" t="str">
        <f t="shared" si="46"/>
        <v>OK</v>
      </c>
      <c r="AY161" s="43" t="str">
        <f t="shared" si="46"/>
        <v>OK</v>
      </c>
      <c r="AZ161" s="43" t="str">
        <f t="shared" si="46"/>
        <v>OK</v>
      </c>
      <c r="BA161" s="44" t="str">
        <f t="shared" si="46"/>
        <v>OK</v>
      </c>
    </row>
    <row r="162" spans="1:53" s="246" customFormat="1" outlineLevel="1">
      <c r="A162" s="244"/>
      <c r="B162" s="244"/>
      <c r="C162" s="241" t="s">
        <v>129</v>
      </c>
      <c r="D162" s="121" t="s">
        <v>391</v>
      </c>
      <c r="E162" s="245" t="s">
        <v>426</v>
      </c>
      <c r="F162" s="326" t="s">
        <v>27</v>
      </c>
      <c r="G162" s="242" t="s">
        <v>27</v>
      </c>
      <c r="H162" s="242" t="s">
        <v>27</v>
      </c>
      <c r="I162" s="242" t="s">
        <v>27</v>
      </c>
      <c r="J162" s="242" t="s">
        <v>27</v>
      </c>
      <c r="K162" s="242" t="s">
        <v>27</v>
      </c>
      <c r="L162" s="242" t="s">
        <v>27</v>
      </c>
      <c r="M162" s="327" t="s">
        <v>27</v>
      </c>
      <c r="N162" s="334" t="str">
        <f t="shared" ref="N162:BA162" si="47">IF(N22&gt;=N112,"OK","BŁĄD")</f>
        <v>OK</v>
      </c>
      <c r="O162" s="43" t="str">
        <f t="shared" si="47"/>
        <v>OK</v>
      </c>
      <c r="P162" s="43" t="str">
        <f t="shared" si="47"/>
        <v>OK</v>
      </c>
      <c r="Q162" s="43" t="str">
        <f t="shared" si="47"/>
        <v>OK</v>
      </c>
      <c r="R162" s="43" t="str">
        <f t="shared" si="47"/>
        <v>OK</v>
      </c>
      <c r="S162" s="43" t="str">
        <f t="shared" si="47"/>
        <v>OK</v>
      </c>
      <c r="T162" s="43" t="str">
        <f t="shared" si="47"/>
        <v>OK</v>
      </c>
      <c r="U162" s="43" t="str">
        <f t="shared" si="47"/>
        <v>OK</v>
      </c>
      <c r="V162" s="43" t="str">
        <f t="shared" si="47"/>
        <v>OK</v>
      </c>
      <c r="W162" s="43" t="str">
        <f t="shared" si="47"/>
        <v>OK</v>
      </c>
      <c r="X162" s="43" t="str">
        <f t="shared" si="47"/>
        <v>OK</v>
      </c>
      <c r="Y162" s="43" t="str">
        <f t="shared" si="47"/>
        <v>OK</v>
      </c>
      <c r="Z162" s="43" t="str">
        <f t="shared" si="47"/>
        <v>OK</v>
      </c>
      <c r="AA162" s="43" t="str">
        <f t="shared" si="47"/>
        <v>OK</v>
      </c>
      <c r="AB162" s="43" t="str">
        <f t="shared" si="47"/>
        <v>OK</v>
      </c>
      <c r="AC162" s="43" t="str">
        <f t="shared" si="47"/>
        <v>OK</v>
      </c>
      <c r="AD162" s="43" t="str">
        <f t="shared" si="47"/>
        <v>OK</v>
      </c>
      <c r="AE162" s="43" t="str">
        <f t="shared" si="47"/>
        <v>OK</v>
      </c>
      <c r="AF162" s="43" t="str">
        <f t="shared" si="47"/>
        <v>OK</v>
      </c>
      <c r="AG162" s="43" t="str">
        <f t="shared" si="47"/>
        <v>OK</v>
      </c>
      <c r="AH162" s="43" t="str">
        <f t="shared" si="47"/>
        <v>OK</v>
      </c>
      <c r="AI162" s="43" t="str">
        <f t="shared" si="47"/>
        <v>OK</v>
      </c>
      <c r="AJ162" s="43" t="str">
        <f t="shared" si="47"/>
        <v>OK</v>
      </c>
      <c r="AK162" s="43" t="str">
        <f t="shared" si="47"/>
        <v>OK</v>
      </c>
      <c r="AL162" s="43" t="str">
        <f t="shared" si="47"/>
        <v>OK</v>
      </c>
      <c r="AM162" s="43" t="str">
        <f t="shared" si="47"/>
        <v>OK</v>
      </c>
      <c r="AN162" s="43" t="str">
        <f t="shared" si="47"/>
        <v>OK</v>
      </c>
      <c r="AO162" s="43" t="str">
        <f t="shared" si="47"/>
        <v>OK</v>
      </c>
      <c r="AP162" s="43" t="str">
        <f t="shared" si="47"/>
        <v>OK</v>
      </c>
      <c r="AQ162" s="43" t="str">
        <f t="shared" si="47"/>
        <v>OK</v>
      </c>
      <c r="AR162" s="43" t="str">
        <f t="shared" si="47"/>
        <v>OK</v>
      </c>
      <c r="AS162" s="43" t="str">
        <f t="shared" si="47"/>
        <v>OK</v>
      </c>
      <c r="AT162" s="43" t="str">
        <f t="shared" si="47"/>
        <v>OK</v>
      </c>
      <c r="AU162" s="43" t="str">
        <f t="shared" si="47"/>
        <v>OK</v>
      </c>
      <c r="AV162" s="43" t="str">
        <f t="shared" si="47"/>
        <v>OK</v>
      </c>
      <c r="AW162" s="43" t="str">
        <f t="shared" si="47"/>
        <v>OK</v>
      </c>
      <c r="AX162" s="43" t="str">
        <f t="shared" si="47"/>
        <v>OK</v>
      </c>
      <c r="AY162" s="43" t="str">
        <f t="shared" si="47"/>
        <v>OK</v>
      </c>
      <c r="AZ162" s="43" t="str">
        <f t="shared" si="47"/>
        <v>OK</v>
      </c>
      <c r="BA162" s="44" t="str">
        <f t="shared" si="47"/>
        <v>OK</v>
      </c>
    </row>
    <row r="163" spans="1:53" s="246" customFormat="1" outlineLevel="1">
      <c r="A163" s="244"/>
      <c r="B163" s="244"/>
      <c r="C163" s="241" t="s">
        <v>123</v>
      </c>
      <c r="D163" s="121" t="s">
        <v>392</v>
      </c>
      <c r="E163" s="245" t="s">
        <v>427</v>
      </c>
      <c r="F163" s="326" t="s">
        <v>27</v>
      </c>
      <c r="G163" s="242" t="s">
        <v>27</v>
      </c>
      <c r="H163" s="242" t="s">
        <v>27</v>
      </c>
      <c r="I163" s="242" t="s">
        <v>27</v>
      </c>
      <c r="J163" s="242" t="s">
        <v>27</v>
      </c>
      <c r="K163" s="242" t="s">
        <v>27</v>
      </c>
      <c r="L163" s="242" t="s">
        <v>27</v>
      </c>
      <c r="M163" s="327" t="s">
        <v>27</v>
      </c>
      <c r="N163" s="334" t="str">
        <f t="shared" ref="N163:BA163" si="48">IF(N24&gt;=N25,"OK","BŁĄD")</f>
        <v>OK</v>
      </c>
      <c r="O163" s="43" t="str">
        <f t="shared" si="48"/>
        <v>OK</v>
      </c>
      <c r="P163" s="43" t="str">
        <f t="shared" si="48"/>
        <v>OK</v>
      </c>
      <c r="Q163" s="43" t="str">
        <f t="shared" si="48"/>
        <v>OK</v>
      </c>
      <c r="R163" s="43" t="str">
        <f t="shared" si="48"/>
        <v>OK</v>
      </c>
      <c r="S163" s="43" t="str">
        <f t="shared" si="48"/>
        <v>OK</v>
      </c>
      <c r="T163" s="43" t="str">
        <f t="shared" si="48"/>
        <v>OK</v>
      </c>
      <c r="U163" s="43" t="str">
        <f t="shared" si="48"/>
        <v>OK</v>
      </c>
      <c r="V163" s="43" t="str">
        <f t="shared" si="48"/>
        <v>OK</v>
      </c>
      <c r="W163" s="43" t="str">
        <f t="shared" si="48"/>
        <v>OK</v>
      </c>
      <c r="X163" s="43" t="str">
        <f t="shared" si="48"/>
        <v>OK</v>
      </c>
      <c r="Y163" s="43" t="str">
        <f t="shared" si="48"/>
        <v>OK</v>
      </c>
      <c r="Z163" s="43" t="str">
        <f t="shared" si="48"/>
        <v>OK</v>
      </c>
      <c r="AA163" s="43" t="str">
        <f t="shared" si="48"/>
        <v>OK</v>
      </c>
      <c r="AB163" s="43" t="str">
        <f t="shared" si="48"/>
        <v>OK</v>
      </c>
      <c r="AC163" s="43" t="str">
        <f t="shared" si="48"/>
        <v>OK</v>
      </c>
      <c r="AD163" s="43" t="str">
        <f t="shared" si="48"/>
        <v>OK</v>
      </c>
      <c r="AE163" s="43" t="str">
        <f t="shared" si="48"/>
        <v>OK</v>
      </c>
      <c r="AF163" s="43" t="str">
        <f t="shared" si="48"/>
        <v>OK</v>
      </c>
      <c r="AG163" s="43" t="str">
        <f t="shared" si="48"/>
        <v>OK</v>
      </c>
      <c r="AH163" s="43" t="str">
        <f t="shared" si="48"/>
        <v>OK</v>
      </c>
      <c r="AI163" s="43" t="str">
        <f t="shared" si="48"/>
        <v>OK</v>
      </c>
      <c r="AJ163" s="43" t="str">
        <f t="shared" si="48"/>
        <v>OK</v>
      </c>
      <c r="AK163" s="43" t="str">
        <f t="shared" si="48"/>
        <v>OK</v>
      </c>
      <c r="AL163" s="43" t="str">
        <f t="shared" si="48"/>
        <v>OK</v>
      </c>
      <c r="AM163" s="43" t="str">
        <f t="shared" si="48"/>
        <v>OK</v>
      </c>
      <c r="AN163" s="43" t="str">
        <f t="shared" si="48"/>
        <v>OK</v>
      </c>
      <c r="AO163" s="43" t="str">
        <f t="shared" si="48"/>
        <v>OK</v>
      </c>
      <c r="AP163" s="43" t="str">
        <f t="shared" si="48"/>
        <v>OK</v>
      </c>
      <c r="AQ163" s="43" t="str">
        <f t="shared" si="48"/>
        <v>OK</v>
      </c>
      <c r="AR163" s="43" t="str">
        <f t="shared" si="48"/>
        <v>OK</v>
      </c>
      <c r="AS163" s="43" t="str">
        <f t="shared" si="48"/>
        <v>OK</v>
      </c>
      <c r="AT163" s="43" t="str">
        <f t="shared" si="48"/>
        <v>OK</v>
      </c>
      <c r="AU163" s="43" t="str">
        <f t="shared" si="48"/>
        <v>OK</v>
      </c>
      <c r="AV163" s="43" t="str">
        <f t="shared" si="48"/>
        <v>OK</v>
      </c>
      <c r="AW163" s="43" t="str">
        <f t="shared" si="48"/>
        <v>OK</v>
      </c>
      <c r="AX163" s="43" t="str">
        <f t="shared" si="48"/>
        <v>OK</v>
      </c>
      <c r="AY163" s="43" t="str">
        <f t="shared" si="48"/>
        <v>OK</v>
      </c>
      <c r="AZ163" s="43" t="str">
        <f t="shared" si="48"/>
        <v>OK</v>
      </c>
      <c r="BA163" s="44" t="str">
        <f t="shared" si="48"/>
        <v>OK</v>
      </c>
    </row>
    <row r="164" spans="1:53" s="246" customFormat="1" outlineLevel="1">
      <c r="A164" s="244"/>
      <c r="B164" s="244"/>
      <c r="C164" s="241" t="s">
        <v>122</v>
      </c>
      <c r="D164" s="121" t="s">
        <v>393</v>
      </c>
      <c r="E164" s="245" t="s">
        <v>428</v>
      </c>
      <c r="F164" s="326" t="s">
        <v>27</v>
      </c>
      <c r="G164" s="242" t="s">
        <v>27</v>
      </c>
      <c r="H164" s="242" t="s">
        <v>27</v>
      </c>
      <c r="I164" s="242" t="s">
        <v>27</v>
      </c>
      <c r="J164" s="242" t="s">
        <v>27</v>
      </c>
      <c r="K164" s="242" t="s">
        <v>27</v>
      </c>
      <c r="L164" s="242" t="s">
        <v>27</v>
      </c>
      <c r="M164" s="327" t="s">
        <v>27</v>
      </c>
      <c r="N164" s="334" t="str">
        <f t="shared" ref="N164:BA164" si="49">IF(N24&gt;=N104,"OK","BŁĄD")</f>
        <v>OK</v>
      </c>
      <c r="O164" s="43" t="str">
        <f t="shared" si="49"/>
        <v>OK</v>
      </c>
      <c r="P164" s="43" t="str">
        <f t="shared" si="49"/>
        <v>OK</v>
      </c>
      <c r="Q164" s="43" t="str">
        <f t="shared" si="49"/>
        <v>OK</v>
      </c>
      <c r="R164" s="43" t="str">
        <f t="shared" si="49"/>
        <v>OK</v>
      </c>
      <c r="S164" s="43" t="str">
        <f t="shared" si="49"/>
        <v>OK</v>
      </c>
      <c r="T164" s="43" t="str">
        <f t="shared" si="49"/>
        <v>OK</v>
      </c>
      <c r="U164" s="43" t="str">
        <f t="shared" si="49"/>
        <v>OK</v>
      </c>
      <c r="V164" s="43" t="str">
        <f t="shared" si="49"/>
        <v>OK</v>
      </c>
      <c r="W164" s="43" t="str">
        <f t="shared" si="49"/>
        <v>OK</v>
      </c>
      <c r="X164" s="43" t="str">
        <f t="shared" si="49"/>
        <v>OK</v>
      </c>
      <c r="Y164" s="43" t="str">
        <f t="shared" si="49"/>
        <v>OK</v>
      </c>
      <c r="Z164" s="43" t="str">
        <f t="shared" si="49"/>
        <v>OK</v>
      </c>
      <c r="AA164" s="43" t="str">
        <f t="shared" si="49"/>
        <v>OK</v>
      </c>
      <c r="AB164" s="43" t="str">
        <f t="shared" si="49"/>
        <v>OK</v>
      </c>
      <c r="AC164" s="43" t="str">
        <f t="shared" si="49"/>
        <v>OK</v>
      </c>
      <c r="AD164" s="43" t="str">
        <f t="shared" si="49"/>
        <v>OK</v>
      </c>
      <c r="AE164" s="43" t="str">
        <f t="shared" si="49"/>
        <v>OK</v>
      </c>
      <c r="AF164" s="43" t="str">
        <f t="shared" si="49"/>
        <v>OK</v>
      </c>
      <c r="AG164" s="43" t="str">
        <f t="shared" si="49"/>
        <v>OK</v>
      </c>
      <c r="AH164" s="43" t="str">
        <f t="shared" si="49"/>
        <v>OK</v>
      </c>
      <c r="AI164" s="43" t="str">
        <f t="shared" si="49"/>
        <v>OK</v>
      </c>
      <c r="AJ164" s="43" t="str">
        <f t="shared" si="49"/>
        <v>OK</v>
      </c>
      <c r="AK164" s="43" t="str">
        <f t="shared" si="49"/>
        <v>OK</v>
      </c>
      <c r="AL164" s="43" t="str">
        <f t="shared" si="49"/>
        <v>OK</v>
      </c>
      <c r="AM164" s="43" t="str">
        <f t="shared" si="49"/>
        <v>OK</v>
      </c>
      <c r="AN164" s="43" t="str">
        <f t="shared" si="49"/>
        <v>OK</v>
      </c>
      <c r="AO164" s="43" t="str">
        <f t="shared" si="49"/>
        <v>OK</v>
      </c>
      <c r="AP164" s="43" t="str">
        <f t="shared" si="49"/>
        <v>OK</v>
      </c>
      <c r="AQ164" s="43" t="str">
        <f t="shared" si="49"/>
        <v>OK</v>
      </c>
      <c r="AR164" s="43" t="str">
        <f t="shared" si="49"/>
        <v>OK</v>
      </c>
      <c r="AS164" s="43" t="str">
        <f t="shared" si="49"/>
        <v>OK</v>
      </c>
      <c r="AT164" s="43" t="str">
        <f t="shared" si="49"/>
        <v>OK</v>
      </c>
      <c r="AU164" s="43" t="str">
        <f t="shared" si="49"/>
        <v>OK</v>
      </c>
      <c r="AV164" s="43" t="str">
        <f t="shared" si="49"/>
        <v>OK</v>
      </c>
      <c r="AW164" s="43" t="str">
        <f t="shared" si="49"/>
        <v>OK</v>
      </c>
      <c r="AX164" s="43" t="str">
        <f t="shared" si="49"/>
        <v>OK</v>
      </c>
      <c r="AY164" s="43" t="str">
        <f t="shared" si="49"/>
        <v>OK</v>
      </c>
      <c r="AZ164" s="43" t="str">
        <f t="shared" si="49"/>
        <v>OK</v>
      </c>
      <c r="BA164" s="44" t="str">
        <f t="shared" si="49"/>
        <v>OK</v>
      </c>
    </row>
    <row r="165" spans="1:53" s="246" customFormat="1" outlineLevel="1">
      <c r="A165" s="244"/>
      <c r="B165" s="244"/>
      <c r="C165" s="241" t="s">
        <v>124</v>
      </c>
      <c r="D165" s="121" t="s">
        <v>394</v>
      </c>
      <c r="E165" s="245" t="s">
        <v>596</v>
      </c>
      <c r="F165" s="326" t="s">
        <v>27</v>
      </c>
      <c r="G165" s="242" t="s">
        <v>27</v>
      </c>
      <c r="H165" s="242" t="s">
        <v>27</v>
      </c>
      <c r="I165" s="242" t="s">
        <v>27</v>
      </c>
      <c r="J165" s="242" t="s">
        <v>27</v>
      </c>
      <c r="K165" s="242" t="s">
        <v>27</v>
      </c>
      <c r="L165" s="242" t="s">
        <v>27</v>
      </c>
      <c r="M165" s="327" t="s">
        <v>27</v>
      </c>
      <c r="N165" s="334" t="str">
        <f>IF(ROUND(N26-(N27+N28+N29),2)&gt;=0,"OK","BŁĄD")</f>
        <v>OK</v>
      </c>
      <c r="O165" s="43" t="str">
        <f t="shared" ref="O165:BA165" si="50">IF(ROUND(O26-(O27+O28+O29),2)&gt;=0,"OK","BŁĄD")</f>
        <v>OK</v>
      </c>
      <c r="P165" s="43" t="str">
        <f t="shared" si="50"/>
        <v>OK</v>
      </c>
      <c r="Q165" s="43" t="str">
        <f t="shared" si="50"/>
        <v>OK</v>
      </c>
      <c r="R165" s="43" t="str">
        <f t="shared" si="50"/>
        <v>OK</v>
      </c>
      <c r="S165" s="43" t="str">
        <f t="shared" si="50"/>
        <v>OK</v>
      </c>
      <c r="T165" s="43" t="str">
        <f t="shared" si="50"/>
        <v>OK</v>
      </c>
      <c r="U165" s="43" t="str">
        <f t="shared" si="50"/>
        <v>OK</v>
      </c>
      <c r="V165" s="43" t="str">
        <f t="shared" si="50"/>
        <v>OK</v>
      </c>
      <c r="W165" s="43" t="str">
        <f t="shared" si="50"/>
        <v>OK</v>
      </c>
      <c r="X165" s="43" t="str">
        <f t="shared" si="50"/>
        <v>OK</v>
      </c>
      <c r="Y165" s="43" t="str">
        <f t="shared" si="50"/>
        <v>OK</v>
      </c>
      <c r="Z165" s="43" t="str">
        <f t="shared" si="50"/>
        <v>OK</v>
      </c>
      <c r="AA165" s="43" t="str">
        <f t="shared" si="50"/>
        <v>OK</v>
      </c>
      <c r="AB165" s="43" t="str">
        <f t="shared" si="50"/>
        <v>OK</v>
      </c>
      <c r="AC165" s="43" t="str">
        <f t="shared" si="50"/>
        <v>OK</v>
      </c>
      <c r="AD165" s="43" t="str">
        <f t="shared" si="50"/>
        <v>OK</v>
      </c>
      <c r="AE165" s="43" t="str">
        <f t="shared" si="50"/>
        <v>OK</v>
      </c>
      <c r="AF165" s="43" t="str">
        <f t="shared" si="50"/>
        <v>OK</v>
      </c>
      <c r="AG165" s="43" t="str">
        <f t="shared" si="50"/>
        <v>OK</v>
      </c>
      <c r="AH165" s="43" t="str">
        <f t="shared" si="50"/>
        <v>OK</v>
      </c>
      <c r="AI165" s="43" t="str">
        <f t="shared" si="50"/>
        <v>OK</v>
      </c>
      <c r="AJ165" s="43" t="str">
        <f t="shared" si="50"/>
        <v>OK</v>
      </c>
      <c r="AK165" s="43" t="str">
        <f t="shared" si="50"/>
        <v>OK</v>
      </c>
      <c r="AL165" s="43" t="str">
        <f t="shared" si="50"/>
        <v>OK</v>
      </c>
      <c r="AM165" s="43" t="str">
        <f t="shared" si="50"/>
        <v>OK</v>
      </c>
      <c r="AN165" s="43" t="str">
        <f t="shared" si="50"/>
        <v>OK</v>
      </c>
      <c r="AO165" s="43" t="str">
        <f t="shared" si="50"/>
        <v>OK</v>
      </c>
      <c r="AP165" s="43" t="str">
        <f t="shared" si="50"/>
        <v>OK</v>
      </c>
      <c r="AQ165" s="43" t="str">
        <f t="shared" si="50"/>
        <v>OK</v>
      </c>
      <c r="AR165" s="43" t="str">
        <f t="shared" si="50"/>
        <v>OK</v>
      </c>
      <c r="AS165" s="43" t="str">
        <f t="shared" si="50"/>
        <v>OK</v>
      </c>
      <c r="AT165" s="43" t="str">
        <f t="shared" si="50"/>
        <v>OK</v>
      </c>
      <c r="AU165" s="43" t="str">
        <f t="shared" si="50"/>
        <v>OK</v>
      </c>
      <c r="AV165" s="43" t="str">
        <f t="shared" si="50"/>
        <v>OK</v>
      </c>
      <c r="AW165" s="43" t="str">
        <f t="shared" si="50"/>
        <v>OK</v>
      </c>
      <c r="AX165" s="43" t="str">
        <f t="shared" si="50"/>
        <v>OK</v>
      </c>
      <c r="AY165" s="43" t="str">
        <f t="shared" si="50"/>
        <v>OK</v>
      </c>
      <c r="AZ165" s="43" t="str">
        <f t="shared" si="50"/>
        <v>OK</v>
      </c>
      <c r="BA165" s="44" t="str">
        <f t="shared" si="50"/>
        <v>OK</v>
      </c>
    </row>
    <row r="166" spans="1:53" s="246" customFormat="1" outlineLevel="1">
      <c r="A166" s="244"/>
      <c r="B166" s="244"/>
      <c r="C166" s="241" t="s">
        <v>130</v>
      </c>
      <c r="D166" s="121" t="s">
        <v>395</v>
      </c>
      <c r="E166" s="245" t="s">
        <v>429</v>
      </c>
      <c r="F166" s="326" t="s">
        <v>27</v>
      </c>
      <c r="G166" s="242" t="s">
        <v>27</v>
      </c>
      <c r="H166" s="242" t="s">
        <v>27</v>
      </c>
      <c r="I166" s="242" t="s">
        <v>27</v>
      </c>
      <c r="J166" s="242" t="s">
        <v>27</v>
      </c>
      <c r="K166" s="242" t="s">
        <v>27</v>
      </c>
      <c r="L166" s="242" t="s">
        <v>27</v>
      </c>
      <c r="M166" s="327" t="s">
        <v>27</v>
      </c>
      <c r="N166" s="334" t="str">
        <f t="shared" ref="N166:BA166" si="51">IF(N30&gt;=N31,"OK","BŁĄD")</f>
        <v>OK</v>
      </c>
      <c r="O166" s="43" t="str">
        <f t="shared" si="51"/>
        <v>OK</v>
      </c>
      <c r="P166" s="43" t="str">
        <f t="shared" si="51"/>
        <v>OK</v>
      </c>
      <c r="Q166" s="43" t="str">
        <f t="shared" si="51"/>
        <v>OK</v>
      </c>
      <c r="R166" s="43" t="str">
        <f t="shared" si="51"/>
        <v>OK</v>
      </c>
      <c r="S166" s="43" t="str">
        <f t="shared" si="51"/>
        <v>OK</v>
      </c>
      <c r="T166" s="43" t="str">
        <f t="shared" si="51"/>
        <v>OK</v>
      </c>
      <c r="U166" s="43" t="str">
        <f t="shared" si="51"/>
        <v>OK</v>
      </c>
      <c r="V166" s="43" t="str">
        <f t="shared" si="51"/>
        <v>OK</v>
      </c>
      <c r="W166" s="43" t="str">
        <f t="shared" si="51"/>
        <v>OK</v>
      </c>
      <c r="X166" s="43" t="str">
        <f t="shared" si="51"/>
        <v>OK</v>
      </c>
      <c r="Y166" s="43" t="str">
        <f t="shared" si="51"/>
        <v>OK</v>
      </c>
      <c r="Z166" s="43" t="str">
        <f t="shared" si="51"/>
        <v>OK</v>
      </c>
      <c r="AA166" s="43" t="str">
        <f t="shared" si="51"/>
        <v>OK</v>
      </c>
      <c r="AB166" s="43" t="str">
        <f t="shared" si="51"/>
        <v>OK</v>
      </c>
      <c r="AC166" s="43" t="str">
        <f t="shared" si="51"/>
        <v>OK</v>
      </c>
      <c r="AD166" s="43" t="str">
        <f t="shared" si="51"/>
        <v>OK</v>
      </c>
      <c r="AE166" s="43" t="str">
        <f t="shared" si="51"/>
        <v>OK</v>
      </c>
      <c r="AF166" s="43" t="str">
        <f t="shared" si="51"/>
        <v>OK</v>
      </c>
      <c r="AG166" s="43" t="str">
        <f t="shared" si="51"/>
        <v>OK</v>
      </c>
      <c r="AH166" s="43" t="str">
        <f t="shared" si="51"/>
        <v>OK</v>
      </c>
      <c r="AI166" s="43" t="str">
        <f t="shared" si="51"/>
        <v>OK</v>
      </c>
      <c r="AJ166" s="43" t="str">
        <f t="shared" si="51"/>
        <v>OK</v>
      </c>
      <c r="AK166" s="43" t="str">
        <f t="shared" si="51"/>
        <v>OK</v>
      </c>
      <c r="AL166" s="43" t="str">
        <f t="shared" si="51"/>
        <v>OK</v>
      </c>
      <c r="AM166" s="43" t="str">
        <f t="shared" si="51"/>
        <v>OK</v>
      </c>
      <c r="AN166" s="43" t="str">
        <f t="shared" si="51"/>
        <v>OK</v>
      </c>
      <c r="AO166" s="43" t="str">
        <f t="shared" si="51"/>
        <v>OK</v>
      </c>
      <c r="AP166" s="43" t="str">
        <f t="shared" si="51"/>
        <v>OK</v>
      </c>
      <c r="AQ166" s="43" t="str">
        <f t="shared" si="51"/>
        <v>OK</v>
      </c>
      <c r="AR166" s="43" t="str">
        <f t="shared" si="51"/>
        <v>OK</v>
      </c>
      <c r="AS166" s="43" t="str">
        <f t="shared" si="51"/>
        <v>OK</v>
      </c>
      <c r="AT166" s="43" t="str">
        <f t="shared" si="51"/>
        <v>OK</v>
      </c>
      <c r="AU166" s="43" t="str">
        <f t="shared" si="51"/>
        <v>OK</v>
      </c>
      <c r="AV166" s="43" t="str">
        <f t="shared" si="51"/>
        <v>OK</v>
      </c>
      <c r="AW166" s="43" t="str">
        <f t="shared" si="51"/>
        <v>OK</v>
      </c>
      <c r="AX166" s="43" t="str">
        <f t="shared" si="51"/>
        <v>OK</v>
      </c>
      <c r="AY166" s="43" t="str">
        <f t="shared" si="51"/>
        <v>OK</v>
      </c>
      <c r="AZ166" s="43" t="str">
        <f t="shared" si="51"/>
        <v>OK</v>
      </c>
      <c r="BA166" s="44" t="str">
        <f t="shared" si="51"/>
        <v>OK</v>
      </c>
    </row>
    <row r="167" spans="1:53" s="246" customFormat="1" outlineLevel="1">
      <c r="A167" s="244"/>
      <c r="B167" s="244"/>
      <c r="C167" s="241" t="s">
        <v>131</v>
      </c>
      <c r="D167" s="121" t="s">
        <v>396</v>
      </c>
      <c r="E167" s="245" t="s">
        <v>430</v>
      </c>
      <c r="F167" s="326" t="s">
        <v>27</v>
      </c>
      <c r="G167" s="242" t="s">
        <v>27</v>
      </c>
      <c r="H167" s="242" t="s">
        <v>27</v>
      </c>
      <c r="I167" s="242" t="s">
        <v>27</v>
      </c>
      <c r="J167" s="242" t="s">
        <v>27</v>
      </c>
      <c r="K167" s="242" t="s">
        <v>27</v>
      </c>
      <c r="L167" s="242" t="s">
        <v>27</v>
      </c>
      <c r="M167" s="327" t="s">
        <v>27</v>
      </c>
      <c r="N167" s="334" t="str">
        <f t="shared" ref="N167:BA167" si="52">IF(N30&gt;=N87,"OK","BŁĄD")</f>
        <v>OK</v>
      </c>
      <c r="O167" s="43" t="str">
        <f t="shared" si="52"/>
        <v>OK</v>
      </c>
      <c r="P167" s="43" t="str">
        <f t="shared" si="52"/>
        <v>OK</v>
      </c>
      <c r="Q167" s="43" t="str">
        <f t="shared" si="52"/>
        <v>OK</v>
      </c>
      <c r="R167" s="43" t="str">
        <f t="shared" si="52"/>
        <v>OK</v>
      </c>
      <c r="S167" s="43" t="str">
        <f t="shared" si="52"/>
        <v>OK</v>
      </c>
      <c r="T167" s="43" t="str">
        <f t="shared" si="52"/>
        <v>OK</v>
      </c>
      <c r="U167" s="43" t="str">
        <f t="shared" si="52"/>
        <v>OK</v>
      </c>
      <c r="V167" s="43" t="str">
        <f t="shared" si="52"/>
        <v>OK</v>
      </c>
      <c r="W167" s="43" t="str">
        <f t="shared" si="52"/>
        <v>OK</v>
      </c>
      <c r="X167" s="43" t="str">
        <f t="shared" si="52"/>
        <v>OK</v>
      </c>
      <c r="Y167" s="43" t="str">
        <f t="shared" si="52"/>
        <v>OK</v>
      </c>
      <c r="Z167" s="43" t="str">
        <f t="shared" si="52"/>
        <v>OK</v>
      </c>
      <c r="AA167" s="43" t="str">
        <f t="shared" si="52"/>
        <v>OK</v>
      </c>
      <c r="AB167" s="43" t="str">
        <f t="shared" si="52"/>
        <v>OK</v>
      </c>
      <c r="AC167" s="43" t="str">
        <f t="shared" si="52"/>
        <v>OK</v>
      </c>
      <c r="AD167" s="43" t="str">
        <f t="shared" si="52"/>
        <v>OK</v>
      </c>
      <c r="AE167" s="43" t="str">
        <f t="shared" si="52"/>
        <v>OK</v>
      </c>
      <c r="AF167" s="43" t="str">
        <f t="shared" si="52"/>
        <v>OK</v>
      </c>
      <c r="AG167" s="43" t="str">
        <f t="shared" si="52"/>
        <v>OK</v>
      </c>
      <c r="AH167" s="43" t="str">
        <f t="shared" si="52"/>
        <v>OK</v>
      </c>
      <c r="AI167" s="43" t="str">
        <f t="shared" si="52"/>
        <v>OK</v>
      </c>
      <c r="AJ167" s="43" t="str">
        <f t="shared" si="52"/>
        <v>OK</v>
      </c>
      <c r="AK167" s="43" t="str">
        <f t="shared" si="52"/>
        <v>OK</v>
      </c>
      <c r="AL167" s="43" t="str">
        <f t="shared" si="52"/>
        <v>OK</v>
      </c>
      <c r="AM167" s="43" t="str">
        <f t="shared" si="52"/>
        <v>OK</v>
      </c>
      <c r="AN167" s="43" t="str">
        <f t="shared" si="52"/>
        <v>OK</v>
      </c>
      <c r="AO167" s="43" t="str">
        <f t="shared" si="52"/>
        <v>OK</v>
      </c>
      <c r="AP167" s="43" t="str">
        <f t="shared" si="52"/>
        <v>OK</v>
      </c>
      <c r="AQ167" s="43" t="str">
        <f t="shared" si="52"/>
        <v>OK</v>
      </c>
      <c r="AR167" s="43" t="str">
        <f t="shared" si="52"/>
        <v>OK</v>
      </c>
      <c r="AS167" s="43" t="str">
        <f t="shared" si="52"/>
        <v>OK</v>
      </c>
      <c r="AT167" s="43" t="str">
        <f t="shared" si="52"/>
        <v>OK</v>
      </c>
      <c r="AU167" s="43" t="str">
        <f t="shared" si="52"/>
        <v>OK</v>
      </c>
      <c r="AV167" s="43" t="str">
        <f t="shared" si="52"/>
        <v>OK</v>
      </c>
      <c r="AW167" s="43" t="str">
        <f t="shared" si="52"/>
        <v>OK</v>
      </c>
      <c r="AX167" s="43" t="str">
        <f t="shared" si="52"/>
        <v>OK</v>
      </c>
      <c r="AY167" s="43" t="str">
        <f t="shared" si="52"/>
        <v>OK</v>
      </c>
      <c r="AZ167" s="43" t="str">
        <f t="shared" si="52"/>
        <v>OK</v>
      </c>
      <c r="BA167" s="44" t="str">
        <f t="shared" si="52"/>
        <v>OK</v>
      </c>
    </row>
    <row r="168" spans="1:53" s="246" customFormat="1" outlineLevel="1">
      <c r="A168" s="244"/>
      <c r="B168" s="244"/>
      <c r="C168" s="241" t="s">
        <v>132</v>
      </c>
      <c r="D168" s="121" t="s">
        <v>397</v>
      </c>
      <c r="E168" s="245" t="s">
        <v>431</v>
      </c>
      <c r="F168" s="326" t="s">
        <v>27</v>
      </c>
      <c r="G168" s="242" t="s">
        <v>27</v>
      </c>
      <c r="H168" s="242" t="s">
        <v>27</v>
      </c>
      <c r="I168" s="242" t="s">
        <v>27</v>
      </c>
      <c r="J168" s="242" t="s">
        <v>27</v>
      </c>
      <c r="K168" s="242" t="s">
        <v>27</v>
      </c>
      <c r="L168" s="242" t="s">
        <v>27</v>
      </c>
      <c r="M168" s="327" t="s">
        <v>27</v>
      </c>
      <c r="N168" s="334" t="str">
        <f t="shared" ref="N168:BA168" si="53">IF(N30&gt;=N93,"OK","BŁĄD")</f>
        <v>OK</v>
      </c>
      <c r="O168" s="43" t="str">
        <f t="shared" si="53"/>
        <v>OK</v>
      </c>
      <c r="P168" s="43" t="str">
        <f t="shared" si="53"/>
        <v>OK</v>
      </c>
      <c r="Q168" s="43" t="str">
        <f t="shared" si="53"/>
        <v>OK</v>
      </c>
      <c r="R168" s="43" t="str">
        <f t="shared" si="53"/>
        <v>OK</v>
      </c>
      <c r="S168" s="43" t="str">
        <f t="shared" si="53"/>
        <v>OK</v>
      </c>
      <c r="T168" s="43" t="str">
        <f t="shared" si="53"/>
        <v>OK</v>
      </c>
      <c r="U168" s="43" t="str">
        <f t="shared" si="53"/>
        <v>OK</v>
      </c>
      <c r="V168" s="43" t="str">
        <f t="shared" si="53"/>
        <v>OK</v>
      </c>
      <c r="W168" s="43" t="str">
        <f t="shared" si="53"/>
        <v>OK</v>
      </c>
      <c r="X168" s="43" t="str">
        <f t="shared" si="53"/>
        <v>OK</v>
      </c>
      <c r="Y168" s="43" t="str">
        <f t="shared" si="53"/>
        <v>OK</v>
      </c>
      <c r="Z168" s="43" t="str">
        <f t="shared" si="53"/>
        <v>OK</v>
      </c>
      <c r="AA168" s="43" t="str">
        <f t="shared" si="53"/>
        <v>OK</v>
      </c>
      <c r="AB168" s="43" t="str">
        <f t="shared" si="53"/>
        <v>OK</v>
      </c>
      <c r="AC168" s="43" t="str">
        <f t="shared" si="53"/>
        <v>OK</v>
      </c>
      <c r="AD168" s="43" t="str">
        <f t="shared" si="53"/>
        <v>OK</v>
      </c>
      <c r="AE168" s="43" t="str">
        <f t="shared" si="53"/>
        <v>OK</v>
      </c>
      <c r="AF168" s="43" t="str">
        <f t="shared" si="53"/>
        <v>OK</v>
      </c>
      <c r="AG168" s="43" t="str">
        <f t="shared" si="53"/>
        <v>OK</v>
      </c>
      <c r="AH168" s="43" t="str">
        <f t="shared" si="53"/>
        <v>OK</v>
      </c>
      <c r="AI168" s="43" t="str">
        <f t="shared" si="53"/>
        <v>OK</v>
      </c>
      <c r="AJ168" s="43" t="str">
        <f t="shared" si="53"/>
        <v>OK</v>
      </c>
      <c r="AK168" s="43" t="str">
        <f t="shared" si="53"/>
        <v>OK</v>
      </c>
      <c r="AL168" s="43" t="str">
        <f t="shared" si="53"/>
        <v>OK</v>
      </c>
      <c r="AM168" s="43" t="str">
        <f t="shared" si="53"/>
        <v>OK</v>
      </c>
      <c r="AN168" s="43" t="str">
        <f t="shared" si="53"/>
        <v>OK</v>
      </c>
      <c r="AO168" s="43" t="str">
        <f t="shared" si="53"/>
        <v>OK</v>
      </c>
      <c r="AP168" s="43" t="str">
        <f t="shared" si="53"/>
        <v>OK</v>
      </c>
      <c r="AQ168" s="43" t="str">
        <f t="shared" si="53"/>
        <v>OK</v>
      </c>
      <c r="AR168" s="43" t="str">
        <f t="shared" si="53"/>
        <v>OK</v>
      </c>
      <c r="AS168" s="43" t="str">
        <f t="shared" si="53"/>
        <v>OK</v>
      </c>
      <c r="AT168" s="43" t="str">
        <f t="shared" si="53"/>
        <v>OK</v>
      </c>
      <c r="AU168" s="43" t="str">
        <f t="shared" si="53"/>
        <v>OK</v>
      </c>
      <c r="AV168" s="43" t="str">
        <f t="shared" si="53"/>
        <v>OK</v>
      </c>
      <c r="AW168" s="43" t="str">
        <f t="shared" si="53"/>
        <v>OK</v>
      </c>
      <c r="AX168" s="43" t="str">
        <f t="shared" si="53"/>
        <v>OK</v>
      </c>
      <c r="AY168" s="43" t="str">
        <f t="shared" si="53"/>
        <v>OK</v>
      </c>
      <c r="AZ168" s="43" t="str">
        <f t="shared" si="53"/>
        <v>OK</v>
      </c>
      <c r="BA168" s="44" t="str">
        <f t="shared" si="53"/>
        <v>OK</v>
      </c>
    </row>
    <row r="169" spans="1:53" s="246" customFormat="1" outlineLevel="1">
      <c r="A169" s="244"/>
      <c r="B169" s="244"/>
      <c r="C169" s="241" t="s">
        <v>133</v>
      </c>
      <c r="D169" s="121" t="s">
        <v>398</v>
      </c>
      <c r="E169" s="245" t="s">
        <v>432</v>
      </c>
      <c r="F169" s="326" t="s">
        <v>27</v>
      </c>
      <c r="G169" s="242" t="s">
        <v>27</v>
      </c>
      <c r="H169" s="242" t="s">
        <v>27</v>
      </c>
      <c r="I169" s="242" t="s">
        <v>27</v>
      </c>
      <c r="J169" s="242" t="s">
        <v>27</v>
      </c>
      <c r="K169" s="242" t="s">
        <v>27</v>
      </c>
      <c r="L169" s="242" t="s">
        <v>27</v>
      </c>
      <c r="M169" s="327" t="s">
        <v>27</v>
      </c>
      <c r="N169" s="334" t="str">
        <f t="shared" ref="N169:BA169" si="54">IF(ROUND(N30-(N102-N103),2)&gt;=0,"OK","BŁĄD")</f>
        <v>OK</v>
      </c>
      <c r="O169" s="43" t="str">
        <f t="shared" si="54"/>
        <v>OK</v>
      </c>
      <c r="P169" s="43" t="str">
        <f t="shared" si="54"/>
        <v>OK</v>
      </c>
      <c r="Q169" s="43" t="str">
        <f t="shared" si="54"/>
        <v>OK</v>
      </c>
      <c r="R169" s="43" t="str">
        <f t="shared" si="54"/>
        <v>OK</v>
      </c>
      <c r="S169" s="43" t="str">
        <f t="shared" si="54"/>
        <v>OK</v>
      </c>
      <c r="T169" s="43" t="str">
        <f t="shared" si="54"/>
        <v>OK</v>
      </c>
      <c r="U169" s="43" t="str">
        <f t="shared" si="54"/>
        <v>OK</v>
      </c>
      <c r="V169" s="43" t="str">
        <f t="shared" si="54"/>
        <v>OK</v>
      </c>
      <c r="W169" s="43" t="str">
        <f t="shared" si="54"/>
        <v>OK</v>
      </c>
      <c r="X169" s="43" t="str">
        <f t="shared" si="54"/>
        <v>OK</v>
      </c>
      <c r="Y169" s="43" t="str">
        <f t="shared" si="54"/>
        <v>OK</v>
      </c>
      <c r="Z169" s="43" t="str">
        <f t="shared" si="54"/>
        <v>OK</v>
      </c>
      <c r="AA169" s="43" t="str">
        <f t="shared" si="54"/>
        <v>OK</v>
      </c>
      <c r="AB169" s="43" t="str">
        <f t="shared" si="54"/>
        <v>OK</v>
      </c>
      <c r="AC169" s="43" t="str">
        <f t="shared" si="54"/>
        <v>OK</v>
      </c>
      <c r="AD169" s="43" t="str">
        <f t="shared" si="54"/>
        <v>OK</v>
      </c>
      <c r="AE169" s="43" t="str">
        <f t="shared" si="54"/>
        <v>OK</v>
      </c>
      <c r="AF169" s="43" t="str">
        <f t="shared" si="54"/>
        <v>OK</v>
      </c>
      <c r="AG169" s="43" t="str">
        <f t="shared" si="54"/>
        <v>OK</v>
      </c>
      <c r="AH169" s="43" t="str">
        <f t="shared" si="54"/>
        <v>OK</v>
      </c>
      <c r="AI169" s="43" t="str">
        <f t="shared" si="54"/>
        <v>OK</v>
      </c>
      <c r="AJ169" s="43" t="str">
        <f t="shared" si="54"/>
        <v>OK</v>
      </c>
      <c r="AK169" s="43" t="str">
        <f t="shared" si="54"/>
        <v>OK</v>
      </c>
      <c r="AL169" s="43" t="str">
        <f t="shared" si="54"/>
        <v>OK</v>
      </c>
      <c r="AM169" s="43" t="str">
        <f t="shared" si="54"/>
        <v>OK</v>
      </c>
      <c r="AN169" s="43" t="str">
        <f t="shared" si="54"/>
        <v>OK</v>
      </c>
      <c r="AO169" s="43" t="str">
        <f t="shared" si="54"/>
        <v>OK</v>
      </c>
      <c r="AP169" s="43" t="str">
        <f t="shared" si="54"/>
        <v>OK</v>
      </c>
      <c r="AQ169" s="43" t="str">
        <f t="shared" si="54"/>
        <v>OK</v>
      </c>
      <c r="AR169" s="43" t="str">
        <f t="shared" si="54"/>
        <v>OK</v>
      </c>
      <c r="AS169" s="43" t="str">
        <f t="shared" si="54"/>
        <v>OK</v>
      </c>
      <c r="AT169" s="43" t="str">
        <f t="shared" si="54"/>
        <v>OK</v>
      </c>
      <c r="AU169" s="43" t="str">
        <f t="shared" si="54"/>
        <v>OK</v>
      </c>
      <c r="AV169" s="43" t="str">
        <f t="shared" si="54"/>
        <v>OK</v>
      </c>
      <c r="AW169" s="43" t="str">
        <f t="shared" si="54"/>
        <v>OK</v>
      </c>
      <c r="AX169" s="43" t="str">
        <f t="shared" si="54"/>
        <v>OK</v>
      </c>
      <c r="AY169" s="43" t="str">
        <f t="shared" si="54"/>
        <v>OK</v>
      </c>
      <c r="AZ169" s="43" t="str">
        <f t="shared" si="54"/>
        <v>OK</v>
      </c>
      <c r="BA169" s="44" t="str">
        <f t="shared" si="54"/>
        <v>OK</v>
      </c>
    </row>
    <row r="170" spans="1:53" s="246" customFormat="1" outlineLevel="1">
      <c r="A170" s="244"/>
      <c r="B170" s="244"/>
      <c r="C170" s="241"/>
      <c r="D170" s="121" t="s">
        <v>399</v>
      </c>
      <c r="E170" s="245" t="s">
        <v>433</v>
      </c>
      <c r="F170" s="326" t="s">
        <v>27</v>
      </c>
      <c r="G170" s="242" t="s">
        <v>27</v>
      </c>
      <c r="H170" s="242" t="s">
        <v>27</v>
      </c>
      <c r="I170" s="242" t="s">
        <v>27</v>
      </c>
      <c r="J170" s="242" t="s">
        <v>27</v>
      </c>
      <c r="K170" s="242" t="s">
        <v>27</v>
      </c>
      <c r="L170" s="242" t="s">
        <v>27</v>
      </c>
      <c r="M170" s="327" t="s">
        <v>27</v>
      </c>
      <c r="N170" s="334" t="str">
        <f t="shared" ref="N170:BA170" si="55">IF(N31&gt;=N32,"OK","BŁĄD")</f>
        <v>OK</v>
      </c>
      <c r="O170" s="43" t="str">
        <f t="shared" si="55"/>
        <v>OK</v>
      </c>
      <c r="P170" s="43" t="str">
        <f t="shared" si="55"/>
        <v>OK</v>
      </c>
      <c r="Q170" s="43" t="str">
        <f t="shared" si="55"/>
        <v>OK</v>
      </c>
      <c r="R170" s="43" t="str">
        <f t="shared" si="55"/>
        <v>OK</v>
      </c>
      <c r="S170" s="43" t="str">
        <f t="shared" si="55"/>
        <v>OK</v>
      </c>
      <c r="T170" s="43" t="str">
        <f t="shared" si="55"/>
        <v>OK</v>
      </c>
      <c r="U170" s="43" t="str">
        <f t="shared" si="55"/>
        <v>OK</v>
      </c>
      <c r="V170" s="43" t="str">
        <f t="shared" si="55"/>
        <v>OK</v>
      </c>
      <c r="W170" s="43" t="str">
        <f t="shared" si="55"/>
        <v>OK</v>
      </c>
      <c r="X170" s="43" t="str">
        <f t="shared" si="55"/>
        <v>OK</v>
      </c>
      <c r="Y170" s="43" t="str">
        <f t="shared" si="55"/>
        <v>OK</v>
      </c>
      <c r="Z170" s="43" t="str">
        <f t="shared" si="55"/>
        <v>OK</v>
      </c>
      <c r="AA170" s="43" t="str">
        <f t="shared" si="55"/>
        <v>OK</v>
      </c>
      <c r="AB170" s="43" t="str">
        <f t="shared" si="55"/>
        <v>OK</v>
      </c>
      <c r="AC170" s="43" t="str">
        <f t="shared" si="55"/>
        <v>OK</v>
      </c>
      <c r="AD170" s="43" t="str">
        <f t="shared" si="55"/>
        <v>OK</v>
      </c>
      <c r="AE170" s="43" t="str">
        <f t="shared" si="55"/>
        <v>OK</v>
      </c>
      <c r="AF170" s="43" t="str">
        <f t="shared" si="55"/>
        <v>OK</v>
      </c>
      <c r="AG170" s="43" t="str">
        <f t="shared" si="55"/>
        <v>OK</v>
      </c>
      <c r="AH170" s="43" t="str">
        <f t="shared" si="55"/>
        <v>OK</v>
      </c>
      <c r="AI170" s="43" t="str">
        <f t="shared" si="55"/>
        <v>OK</v>
      </c>
      <c r="AJ170" s="43" t="str">
        <f t="shared" si="55"/>
        <v>OK</v>
      </c>
      <c r="AK170" s="43" t="str">
        <f t="shared" si="55"/>
        <v>OK</v>
      </c>
      <c r="AL170" s="43" t="str">
        <f t="shared" si="55"/>
        <v>OK</v>
      </c>
      <c r="AM170" s="43" t="str">
        <f t="shared" si="55"/>
        <v>OK</v>
      </c>
      <c r="AN170" s="43" t="str">
        <f t="shared" si="55"/>
        <v>OK</v>
      </c>
      <c r="AO170" s="43" t="str">
        <f t="shared" si="55"/>
        <v>OK</v>
      </c>
      <c r="AP170" s="43" t="str">
        <f t="shared" si="55"/>
        <v>OK</v>
      </c>
      <c r="AQ170" s="43" t="str">
        <f t="shared" si="55"/>
        <v>OK</v>
      </c>
      <c r="AR170" s="43" t="str">
        <f t="shared" si="55"/>
        <v>OK</v>
      </c>
      <c r="AS170" s="43" t="str">
        <f t="shared" si="55"/>
        <v>OK</v>
      </c>
      <c r="AT170" s="43" t="str">
        <f t="shared" si="55"/>
        <v>OK</v>
      </c>
      <c r="AU170" s="43" t="str">
        <f t="shared" si="55"/>
        <v>OK</v>
      </c>
      <c r="AV170" s="43" t="str">
        <f t="shared" si="55"/>
        <v>OK</v>
      </c>
      <c r="AW170" s="43" t="str">
        <f t="shared" si="55"/>
        <v>OK</v>
      </c>
      <c r="AX170" s="43" t="str">
        <f t="shared" si="55"/>
        <v>OK</v>
      </c>
      <c r="AY170" s="43" t="str">
        <f t="shared" si="55"/>
        <v>OK</v>
      </c>
      <c r="AZ170" s="43" t="str">
        <f t="shared" si="55"/>
        <v>OK</v>
      </c>
      <c r="BA170" s="44" t="str">
        <f t="shared" si="55"/>
        <v>OK</v>
      </c>
    </row>
    <row r="171" spans="1:53" s="246" customFormat="1" outlineLevel="1">
      <c r="A171" s="244"/>
      <c r="B171" s="244"/>
      <c r="C171" s="241" t="s">
        <v>134</v>
      </c>
      <c r="D171" s="121" t="s">
        <v>134</v>
      </c>
      <c r="E171" s="245" t="s">
        <v>152</v>
      </c>
      <c r="F171" s="326" t="s">
        <v>27</v>
      </c>
      <c r="G171" s="242" t="s">
        <v>27</v>
      </c>
      <c r="H171" s="242" t="s">
        <v>27</v>
      </c>
      <c r="I171" s="242" t="s">
        <v>27</v>
      </c>
      <c r="J171" s="242" t="s">
        <v>27</v>
      </c>
      <c r="K171" s="242" t="s">
        <v>27</v>
      </c>
      <c r="L171" s="242" t="s">
        <v>27</v>
      </c>
      <c r="M171" s="327" t="s">
        <v>27</v>
      </c>
      <c r="N171" s="334" t="str">
        <f t="shared" ref="N171:BA171" si="56">IF(N36&gt;=N37,"OK","BŁĄD")</f>
        <v>OK</v>
      </c>
      <c r="O171" s="43" t="str">
        <f t="shared" si="56"/>
        <v>OK</v>
      </c>
      <c r="P171" s="43" t="str">
        <f t="shared" si="56"/>
        <v>OK</v>
      </c>
      <c r="Q171" s="43" t="str">
        <f t="shared" si="56"/>
        <v>OK</v>
      </c>
      <c r="R171" s="43" t="str">
        <f t="shared" si="56"/>
        <v>OK</v>
      </c>
      <c r="S171" s="43" t="str">
        <f t="shared" si="56"/>
        <v>OK</v>
      </c>
      <c r="T171" s="43" t="str">
        <f t="shared" si="56"/>
        <v>OK</v>
      </c>
      <c r="U171" s="43" t="str">
        <f t="shared" si="56"/>
        <v>OK</v>
      </c>
      <c r="V171" s="43" t="str">
        <f t="shared" si="56"/>
        <v>OK</v>
      </c>
      <c r="W171" s="43" t="str">
        <f t="shared" si="56"/>
        <v>OK</v>
      </c>
      <c r="X171" s="43" t="str">
        <f t="shared" si="56"/>
        <v>OK</v>
      </c>
      <c r="Y171" s="43" t="str">
        <f t="shared" si="56"/>
        <v>OK</v>
      </c>
      <c r="Z171" s="43" t="str">
        <f t="shared" si="56"/>
        <v>OK</v>
      </c>
      <c r="AA171" s="43" t="str">
        <f t="shared" si="56"/>
        <v>OK</v>
      </c>
      <c r="AB171" s="43" t="str">
        <f t="shared" si="56"/>
        <v>OK</v>
      </c>
      <c r="AC171" s="43" t="str">
        <f t="shared" si="56"/>
        <v>OK</v>
      </c>
      <c r="AD171" s="43" t="str">
        <f t="shared" si="56"/>
        <v>OK</v>
      </c>
      <c r="AE171" s="43" t="str">
        <f t="shared" si="56"/>
        <v>OK</v>
      </c>
      <c r="AF171" s="43" t="str">
        <f t="shared" si="56"/>
        <v>OK</v>
      </c>
      <c r="AG171" s="43" t="str">
        <f t="shared" si="56"/>
        <v>OK</v>
      </c>
      <c r="AH171" s="43" t="str">
        <f t="shared" si="56"/>
        <v>OK</v>
      </c>
      <c r="AI171" s="43" t="str">
        <f t="shared" si="56"/>
        <v>OK</v>
      </c>
      <c r="AJ171" s="43" t="str">
        <f t="shared" si="56"/>
        <v>OK</v>
      </c>
      <c r="AK171" s="43" t="str">
        <f t="shared" si="56"/>
        <v>OK</v>
      </c>
      <c r="AL171" s="43" t="str">
        <f t="shared" si="56"/>
        <v>OK</v>
      </c>
      <c r="AM171" s="43" t="str">
        <f t="shared" si="56"/>
        <v>OK</v>
      </c>
      <c r="AN171" s="43" t="str">
        <f t="shared" si="56"/>
        <v>OK</v>
      </c>
      <c r="AO171" s="43" t="str">
        <f t="shared" si="56"/>
        <v>OK</v>
      </c>
      <c r="AP171" s="43" t="str">
        <f t="shared" si="56"/>
        <v>OK</v>
      </c>
      <c r="AQ171" s="43" t="str">
        <f t="shared" si="56"/>
        <v>OK</v>
      </c>
      <c r="AR171" s="43" t="str">
        <f t="shared" si="56"/>
        <v>OK</v>
      </c>
      <c r="AS171" s="43" t="str">
        <f t="shared" si="56"/>
        <v>OK</v>
      </c>
      <c r="AT171" s="43" t="str">
        <f t="shared" si="56"/>
        <v>OK</v>
      </c>
      <c r="AU171" s="43" t="str">
        <f t="shared" si="56"/>
        <v>OK</v>
      </c>
      <c r="AV171" s="43" t="str">
        <f t="shared" si="56"/>
        <v>OK</v>
      </c>
      <c r="AW171" s="43" t="str">
        <f t="shared" si="56"/>
        <v>OK</v>
      </c>
      <c r="AX171" s="43" t="str">
        <f t="shared" si="56"/>
        <v>OK</v>
      </c>
      <c r="AY171" s="43" t="str">
        <f t="shared" si="56"/>
        <v>OK</v>
      </c>
      <c r="AZ171" s="43" t="str">
        <f t="shared" si="56"/>
        <v>OK</v>
      </c>
      <c r="BA171" s="44" t="str">
        <f t="shared" si="56"/>
        <v>OK</v>
      </c>
    </row>
    <row r="172" spans="1:53" s="246" customFormat="1" outlineLevel="1">
      <c r="A172" s="244"/>
      <c r="B172" s="244"/>
      <c r="C172" s="241" t="s">
        <v>135</v>
      </c>
      <c r="D172" s="121" t="s">
        <v>135</v>
      </c>
      <c r="E172" s="245" t="s">
        <v>153</v>
      </c>
      <c r="F172" s="326" t="s">
        <v>27</v>
      </c>
      <c r="G172" s="242" t="s">
        <v>27</v>
      </c>
      <c r="H172" s="242" t="s">
        <v>27</v>
      </c>
      <c r="I172" s="242" t="s">
        <v>27</v>
      </c>
      <c r="J172" s="242" t="s">
        <v>27</v>
      </c>
      <c r="K172" s="242" t="s">
        <v>27</v>
      </c>
      <c r="L172" s="242" t="s">
        <v>27</v>
      </c>
      <c r="M172" s="327" t="s">
        <v>27</v>
      </c>
      <c r="N172" s="334" t="str">
        <f t="shared" ref="N172:BA172" si="57">IF(N38&gt;=N39,"OK","BŁĄD")</f>
        <v>OK</v>
      </c>
      <c r="O172" s="43" t="str">
        <f t="shared" si="57"/>
        <v>OK</v>
      </c>
      <c r="P172" s="43" t="str">
        <f t="shared" si="57"/>
        <v>OK</v>
      </c>
      <c r="Q172" s="43" t="str">
        <f t="shared" si="57"/>
        <v>OK</v>
      </c>
      <c r="R172" s="43" t="str">
        <f t="shared" si="57"/>
        <v>OK</v>
      </c>
      <c r="S172" s="43" t="str">
        <f t="shared" si="57"/>
        <v>OK</v>
      </c>
      <c r="T172" s="43" t="str">
        <f t="shared" si="57"/>
        <v>OK</v>
      </c>
      <c r="U172" s="43" t="str">
        <f t="shared" si="57"/>
        <v>OK</v>
      </c>
      <c r="V172" s="43" t="str">
        <f t="shared" si="57"/>
        <v>OK</v>
      </c>
      <c r="W172" s="43" t="str">
        <f t="shared" si="57"/>
        <v>OK</v>
      </c>
      <c r="X172" s="43" t="str">
        <f t="shared" si="57"/>
        <v>OK</v>
      </c>
      <c r="Y172" s="43" t="str">
        <f t="shared" si="57"/>
        <v>OK</v>
      </c>
      <c r="Z172" s="43" t="str">
        <f t="shared" si="57"/>
        <v>OK</v>
      </c>
      <c r="AA172" s="43" t="str">
        <f t="shared" si="57"/>
        <v>OK</v>
      </c>
      <c r="AB172" s="43" t="str">
        <f t="shared" si="57"/>
        <v>OK</v>
      </c>
      <c r="AC172" s="43" t="str">
        <f t="shared" si="57"/>
        <v>OK</v>
      </c>
      <c r="AD172" s="43" t="str">
        <f t="shared" si="57"/>
        <v>OK</v>
      </c>
      <c r="AE172" s="43" t="str">
        <f t="shared" si="57"/>
        <v>OK</v>
      </c>
      <c r="AF172" s="43" t="str">
        <f t="shared" si="57"/>
        <v>OK</v>
      </c>
      <c r="AG172" s="43" t="str">
        <f t="shared" si="57"/>
        <v>OK</v>
      </c>
      <c r="AH172" s="43" t="str">
        <f t="shared" si="57"/>
        <v>OK</v>
      </c>
      <c r="AI172" s="43" t="str">
        <f t="shared" si="57"/>
        <v>OK</v>
      </c>
      <c r="AJ172" s="43" t="str">
        <f t="shared" si="57"/>
        <v>OK</v>
      </c>
      <c r="AK172" s="43" t="str">
        <f t="shared" si="57"/>
        <v>OK</v>
      </c>
      <c r="AL172" s="43" t="str">
        <f t="shared" si="57"/>
        <v>OK</v>
      </c>
      <c r="AM172" s="43" t="str">
        <f t="shared" si="57"/>
        <v>OK</v>
      </c>
      <c r="AN172" s="43" t="str">
        <f t="shared" si="57"/>
        <v>OK</v>
      </c>
      <c r="AO172" s="43" t="str">
        <f t="shared" si="57"/>
        <v>OK</v>
      </c>
      <c r="AP172" s="43" t="str">
        <f t="shared" si="57"/>
        <v>OK</v>
      </c>
      <c r="AQ172" s="43" t="str">
        <f t="shared" si="57"/>
        <v>OK</v>
      </c>
      <c r="AR172" s="43" t="str">
        <f t="shared" si="57"/>
        <v>OK</v>
      </c>
      <c r="AS172" s="43" t="str">
        <f t="shared" si="57"/>
        <v>OK</v>
      </c>
      <c r="AT172" s="43" t="str">
        <f t="shared" si="57"/>
        <v>OK</v>
      </c>
      <c r="AU172" s="43" t="str">
        <f t="shared" si="57"/>
        <v>OK</v>
      </c>
      <c r="AV172" s="43" t="str">
        <f t="shared" si="57"/>
        <v>OK</v>
      </c>
      <c r="AW172" s="43" t="str">
        <f t="shared" si="57"/>
        <v>OK</v>
      </c>
      <c r="AX172" s="43" t="str">
        <f t="shared" si="57"/>
        <v>OK</v>
      </c>
      <c r="AY172" s="43" t="str">
        <f t="shared" si="57"/>
        <v>OK</v>
      </c>
      <c r="AZ172" s="43" t="str">
        <f t="shared" si="57"/>
        <v>OK</v>
      </c>
      <c r="BA172" s="44" t="str">
        <f t="shared" si="57"/>
        <v>OK</v>
      </c>
    </row>
    <row r="173" spans="1:53" s="246" customFormat="1" outlineLevel="1">
      <c r="A173" s="244"/>
      <c r="B173" s="244"/>
      <c r="C173" s="241" t="s">
        <v>136</v>
      </c>
      <c r="D173" s="121" t="s">
        <v>136</v>
      </c>
      <c r="E173" s="245" t="s">
        <v>154</v>
      </c>
      <c r="F173" s="326" t="s">
        <v>27</v>
      </c>
      <c r="G173" s="242" t="s">
        <v>27</v>
      </c>
      <c r="H173" s="242" t="s">
        <v>27</v>
      </c>
      <c r="I173" s="242" t="s">
        <v>27</v>
      </c>
      <c r="J173" s="242" t="s">
        <v>27</v>
      </c>
      <c r="K173" s="242" t="s">
        <v>27</v>
      </c>
      <c r="L173" s="242" t="s">
        <v>27</v>
      </c>
      <c r="M173" s="327" t="s">
        <v>27</v>
      </c>
      <c r="N173" s="334" t="str">
        <f t="shared" ref="N173:BA173" si="58">IF(N40&gt;=N41,"OK","BŁĄD")</f>
        <v>OK</v>
      </c>
      <c r="O173" s="43" t="str">
        <f t="shared" si="58"/>
        <v>OK</v>
      </c>
      <c r="P173" s="43" t="str">
        <f t="shared" si="58"/>
        <v>OK</v>
      </c>
      <c r="Q173" s="43" t="str">
        <f t="shared" si="58"/>
        <v>OK</v>
      </c>
      <c r="R173" s="43" t="str">
        <f t="shared" si="58"/>
        <v>OK</v>
      </c>
      <c r="S173" s="43" t="str">
        <f t="shared" si="58"/>
        <v>OK</v>
      </c>
      <c r="T173" s="43" t="str">
        <f t="shared" si="58"/>
        <v>OK</v>
      </c>
      <c r="U173" s="43" t="str">
        <f t="shared" si="58"/>
        <v>OK</v>
      </c>
      <c r="V173" s="43" t="str">
        <f t="shared" si="58"/>
        <v>OK</v>
      </c>
      <c r="W173" s="43" t="str">
        <f t="shared" si="58"/>
        <v>OK</v>
      </c>
      <c r="X173" s="43" t="str">
        <f t="shared" si="58"/>
        <v>OK</v>
      </c>
      <c r="Y173" s="43" t="str">
        <f t="shared" si="58"/>
        <v>OK</v>
      </c>
      <c r="Z173" s="43" t="str">
        <f t="shared" si="58"/>
        <v>OK</v>
      </c>
      <c r="AA173" s="43" t="str">
        <f t="shared" si="58"/>
        <v>OK</v>
      </c>
      <c r="AB173" s="43" t="str">
        <f t="shared" si="58"/>
        <v>OK</v>
      </c>
      <c r="AC173" s="43" t="str">
        <f t="shared" si="58"/>
        <v>OK</v>
      </c>
      <c r="AD173" s="43" t="str">
        <f t="shared" si="58"/>
        <v>OK</v>
      </c>
      <c r="AE173" s="43" t="str">
        <f t="shared" si="58"/>
        <v>OK</v>
      </c>
      <c r="AF173" s="43" t="str">
        <f t="shared" si="58"/>
        <v>OK</v>
      </c>
      <c r="AG173" s="43" t="str">
        <f t="shared" si="58"/>
        <v>OK</v>
      </c>
      <c r="AH173" s="43" t="str">
        <f t="shared" si="58"/>
        <v>OK</v>
      </c>
      <c r="AI173" s="43" t="str">
        <f t="shared" si="58"/>
        <v>OK</v>
      </c>
      <c r="AJ173" s="43" t="str">
        <f t="shared" si="58"/>
        <v>OK</v>
      </c>
      <c r="AK173" s="43" t="str">
        <f t="shared" si="58"/>
        <v>OK</v>
      </c>
      <c r="AL173" s="43" t="str">
        <f t="shared" si="58"/>
        <v>OK</v>
      </c>
      <c r="AM173" s="43" t="str">
        <f t="shared" si="58"/>
        <v>OK</v>
      </c>
      <c r="AN173" s="43" t="str">
        <f t="shared" si="58"/>
        <v>OK</v>
      </c>
      <c r="AO173" s="43" t="str">
        <f t="shared" si="58"/>
        <v>OK</v>
      </c>
      <c r="AP173" s="43" t="str">
        <f t="shared" si="58"/>
        <v>OK</v>
      </c>
      <c r="AQ173" s="43" t="str">
        <f t="shared" si="58"/>
        <v>OK</v>
      </c>
      <c r="AR173" s="43" t="str">
        <f t="shared" si="58"/>
        <v>OK</v>
      </c>
      <c r="AS173" s="43" t="str">
        <f t="shared" si="58"/>
        <v>OK</v>
      </c>
      <c r="AT173" s="43" t="str">
        <f t="shared" si="58"/>
        <v>OK</v>
      </c>
      <c r="AU173" s="43" t="str">
        <f t="shared" si="58"/>
        <v>OK</v>
      </c>
      <c r="AV173" s="43" t="str">
        <f t="shared" si="58"/>
        <v>OK</v>
      </c>
      <c r="AW173" s="43" t="str">
        <f t="shared" si="58"/>
        <v>OK</v>
      </c>
      <c r="AX173" s="43" t="str">
        <f t="shared" si="58"/>
        <v>OK</v>
      </c>
      <c r="AY173" s="43" t="str">
        <f t="shared" si="58"/>
        <v>OK</v>
      </c>
      <c r="AZ173" s="43" t="str">
        <f t="shared" si="58"/>
        <v>OK</v>
      </c>
      <c r="BA173" s="44" t="str">
        <f t="shared" si="58"/>
        <v>OK</v>
      </c>
    </row>
    <row r="174" spans="1:53" s="246" customFormat="1" outlineLevel="1">
      <c r="A174" s="244"/>
      <c r="B174" s="244"/>
      <c r="C174" s="241" t="s">
        <v>137</v>
      </c>
      <c r="D174" s="121" t="s">
        <v>137</v>
      </c>
      <c r="E174" s="245" t="s">
        <v>155</v>
      </c>
      <c r="F174" s="326" t="s">
        <v>27</v>
      </c>
      <c r="G174" s="242" t="s">
        <v>27</v>
      </c>
      <c r="H174" s="242" t="s">
        <v>27</v>
      </c>
      <c r="I174" s="242" t="s">
        <v>27</v>
      </c>
      <c r="J174" s="242" t="s">
        <v>27</v>
      </c>
      <c r="K174" s="242" t="s">
        <v>27</v>
      </c>
      <c r="L174" s="242" t="s">
        <v>27</v>
      </c>
      <c r="M174" s="327" t="s">
        <v>27</v>
      </c>
      <c r="N174" s="334" t="str">
        <f t="shared" ref="N174:BA174" si="59">IF(N42&gt;=N43,"OK","BŁĄD")</f>
        <v>OK</v>
      </c>
      <c r="O174" s="43" t="str">
        <f t="shared" si="59"/>
        <v>OK</v>
      </c>
      <c r="P174" s="43" t="str">
        <f t="shared" si="59"/>
        <v>OK</v>
      </c>
      <c r="Q174" s="43" t="str">
        <f t="shared" si="59"/>
        <v>OK</v>
      </c>
      <c r="R174" s="43" t="str">
        <f t="shared" si="59"/>
        <v>OK</v>
      </c>
      <c r="S174" s="43" t="str">
        <f t="shared" si="59"/>
        <v>OK</v>
      </c>
      <c r="T174" s="43" t="str">
        <f t="shared" si="59"/>
        <v>OK</v>
      </c>
      <c r="U174" s="43" t="str">
        <f t="shared" si="59"/>
        <v>OK</v>
      </c>
      <c r="V174" s="43" t="str">
        <f t="shared" si="59"/>
        <v>OK</v>
      </c>
      <c r="W174" s="43" t="str">
        <f t="shared" si="59"/>
        <v>OK</v>
      </c>
      <c r="X174" s="43" t="str">
        <f t="shared" si="59"/>
        <v>OK</v>
      </c>
      <c r="Y174" s="43" t="str">
        <f t="shared" si="59"/>
        <v>OK</v>
      </c>
      <c r="Z174" s="43" t="str">
        <f t="shared" si="59"/>
        <v>OK</v>
      </c>
      <c r="AA174" s="43" t="str">
        <f t="shared" si="59"/>
        <v>OK</v>
      </c>
      <c r="AB174" s="43" t="str">
        <f t="shared" si="59"/>
        <v>OK</v>
      </c>
      <c r="AC174" s="43" t="str">
        <f t="shared" si="59"/>
        <v>OK</v>
      </c>
      <c r="AD174" s="43" t="str">
        <f t="shared" si="59"/>
        <v>OK</v>
      </c>
      <c r="AE174" s="43" t="str">
        <f t="shared" si="59"/>
        <v>OK</v>
      </c>
      <c r="AF174" s="43" t="str">
        <f t="shared" si="59"/>
        <v>OK</v>
      </c>
      <c r="AG174" s="43" t="str">
        <f t="shared" si="59"/>
        <v>OK</v>
      </c>
      <c r="AH174" s="43" t="str">
        <f t="shared" si="59"/>
        <v>OK</v>
      </c>
      <c r="AI174" s="43" t="str">
        <f t="shared" si="59"/>
        <v>OK</v>
      </c>
      <c r="AJ174" s="43" t="str">
        <f t="shared" si="59"/>
        <v>OK</v>
      </c>
      <c r="AK174" s="43" t="str">
        <f t="shared" si="59"/>
        <v>OK</v>
      </c>
      <c r="AL174" s="43" t="str">
        <f t="shared" si="59"/>
        <v>OK</v>
      </c>
      <c r="AM174" s="43" t="str">
        <f t="shared" si="59"/>
        <v>OK</v>
      </c>
      <c r="AN174" s="43" t="str">
        <f t="shared" si="59"/>
        <v>OK</v>
      </c>
      <c r="AO174" s="43" t="str">
        <f t="shared" si="59"/>
        <v>OK</v>
      </c>
      <c r="AP174" s="43" t="str">
        <f t="shared" si="59"/>
        <v>OK</v>
      </c>
      <c r="AQ174" s="43" t="str">
        <f t="shared" si="59"/>
        <v>OK</v>
      </c>
      <c r="AR174" s="43" t="str">
        <f t="shared" si="59"/>
        <v>OK</v>
      </c>
      <c r="AS174" s="43" t="str">
        <f t="shared" si="59"/>
        <v>OK</v>
      </c>
      <c r="AT174" s="43" t="str">
        <f t="shared" si="59"/>
        <v>OK</v>
      </c>
      <c r="AU174" s="43" t="str">
        <f t="shared" si="59"/>
        <v>OK</v>
      </c>
      <c r="AV174" s="43" t="str">
        <f t="shared" si="59"/>
        <v>OK</v>
      </c>
      <c r="AW174" s="43" t="str">
        <f t="shared" si="59"/>
        <v>OK</v>
      </c>
      <c r="AX174" s="43" t="str">
        <f t="shared" si="59"/>
        <v>OK</v>
      </c>
      <c r="AY174" s="43" t="str">
        <f t="shared" si="59"/>
        <v>OK</v>
      </c>
      <c r="AZ174" s="43" t="str">
        <f t="shared" si="59"/>
        <v>OK</v>
      </c>
      <c r="BA174" s="44" t="str">
        <f t="shared" si="59"/>
        <v>OK</v>
      </c>
    </row>
    <row r="175" spans="1:53" s="246" customFormat="1" outlineLevel="1">
      <c r="A175" s="244"/>
      <c r="B175" s="244"/>
      <c r="C175" s="241" t="s">
        <v>137</v>
      </c>
      <c r="D175" s="121" t="s">
        <v>400</v>
      </c>
      <c r="E175" s="245" t="s">
        <v>434</v>
      </c>
      <c r="F175" s="326" t="s">
        <v>27</v>
      </c>
      <c r="G175" s="242" t="s">
        <v>27</v>
      </c>
      <c r="H175" s="242" t="s">
        <v>27</v>
      </c>
      <c r="I175" s="242" t="s">
        <v>27</v>
      </c>
      <c r="J175" s="242" t="s">
        <v>27</v>
      </c>
      <c r="K175" s="242" t="s">
        <v>27</v>
      </c>
      <c r="L175" s="242" t="s">
        <v>27</v>
      </c>
      <c r="M175" s="327" t="s">
        <v>27</v>
      </c>
      <c r="N175" s="334" t="str">
        <f t="shared" ref="N175:BA175" si="60">IF(N44&gt;=N45,"OK","BŁĄD")</f>
        <v>OK</v>
      </c>
      <c r="O175" s="43" t="str">
        <f t="shared" si="60"/>
        <v>OK</v>
      </c>
      <c r="P175" s="43" t="str">
        <f t="shared" si="60"/>
        <v>OK</v>
      </c>
      <c r="Q175" s="43" t="str">
        <f t="shared" si="60"/>
        <v>OK</v>
      </c>
      <c r="R175" s="43" t="str">
        <f t="shared" si="60"/>
        <v>OK</v>
      </c>
      <c r="S175" s="43" t="str">
        <f t="shared" si="60"/>
        <v>OK</v>
      </c>
      <c r="T175" s="43" t="str">
        <f t="shared" si="60"/>
        <v>OK</v>
      </c>
      <c r="U175" s="43" t="str">
        <f t="shared" si="60"/>
        <v>OK</v>
      </c>
      <c r="V175" s="43" t="str">
        <f t="shared" si="60"/>
        <v>OK</v>
      </c>
      <c r="W175" s="43" t="str">
        <f t="shared" si="60"/>
        <v>OK</v>
      </c>
      <c r="X175" s="43" t="str">
        <f t="shared" si="60"/>
        <v>OK</v>
      </c>
      <c r="Y175" s="43" t="str">
        <f t="shared" si="60"/>
        <v>OK</v>
      </c>
      <c r="Z175" s="43" t="str">
        <f t="shared" si="60"/>
        <v>OK</v>
      </c>
      <c r="AA175" s="43" t="str">
        <f t="shared" si="60"/>
        <v>OK</v>
      </c>
      <c r="AB175" s="43" t="str">
        <f t="shared" si="60"/>
        <v>OK</v>
      </c>
      <c r="AC175" s="43" t="str">
        <f t="shared" si="60"/>
        <v>OK</v>
      </c>
      <c r="AD175" s="43" t="str">
        <f t="shared" si="60"/>
        <v>OK</v>
      </c>
      <c r="AE175" s="43" t="str">
        <f t="shared" si="60"/>
        <v>OK</v>
      </c>
      <c r="AF175" s="43" t="str">
        <f t="shared" si="60"/>
        <v>OK</v>
      </c>
      <c r="AG175" s="43" t="str">
        <f t="shared" si="60"/>
        <v>OK</v>
      </c>
      <c r="AH175" s="43" t="str">
        <f t="shared" si="60"/>
        <v>OK</v>
      </c>
      <c r="AI175" s="43" t="str">
        <f t="shared" si="60"/>
        <v>OK</v>
      </c>
      <c r="AJ175" s="43" t="str">
        <f t="shared" si="60"/>
        <v>OK</v>
      </c>
      <c r="AK175" s="43" t="str">
        <f t="shared" si="60"/>
        <v>OK</v>
      </c>
      <c r="AL175" s="43" t="str">
        <f t="shared" si="60"/>
        <v>OK</v>
      </c>
      <c r="AM175" s="43" t="str">
        <f t="shared" si="60"/>
        <v>OK</v>
      </c>
      <c r="AN175" s="43" t="str">
        <f t="shared" si="60"/>
        <v>OK</v>
      </c>
      <c r="AO175" s="43" t="str">
        <f t="shared" si="60"/>
        <v>OK</v>
      </c>
      <c r="AP175" s="43" t="str">
        <f t="shared" si="60"/>
        <v>OK</v>
      </c>
      <c r="AQ175" s="43" t="str">
        <f t="shared" si="60"/>
        <v>OK</v>
      </c>
      <c r="AR175" s="43" t="str">
        <f t="shared" si="60"/>
        <v>OK</v>
      </c>
      <c r="AS175" s="43" t="str">
        <f t="shared" si="60"/>
        <v>OK</v>
      </c>
      <c r="AT175" s="43" t="str">
        <f t="shared" si="60"/>
        <v>OK</v>
      </c>
      <c r="AU175" s="43" t="str">
        <f t="shared" si="60"/>
        <v>OK</v>
      </c>
      <c r="AV175" s="43" t="str">
        <f t="shared" si="60"/>
        <v>OK</v>
      </c>
      <c r="AW175" s="43" t="str">
        <f t="shared" si="60"/>
        <v>OK</v>
      </c>
      <c r="AX175" s="43" t="str">
        <f t="shared" si="60"/>
        <v>OK</v>
      </c>
      <c r="AY175" s="43" t="str">
        <f t="shared" si="60"/>
        <v>OK</v>
      </c>
      <c r="AZ175" s="43" t="str">
        <f t="shared" si="60"/>
        <v>OK</v>
      </c>
      <c r="BA175" s="44" t="str">
        <f t="shared" si="60"/>
        <v>OK</v>
      </c>
    </row>
    <row r="176" spans="1:53" s="246" customFormat="1" outlineLevel="1">
      <c r="A176" s="244"/>
      <c r="B176" s="244"/>
      <c r="C176" s="241" t="s">
        <v>140</v>
      </c>
      <c r="D176" s="121" t="s">
        <v>140</v>
      </c>
      <c r="E176" s="245" t="s">
        <v>156</v>
      </c>
      <c r="F176" s="326" t="s">
        <v>27</v>
      </c>
      <c r="G176" s="242" t="s">
        <v>27</v>
      </c>
      <c r="H176" s="242" t="s">
        <v>27</v>
      </c>
      <c r="I176" s="242" t="s">
        <v>27</v>
      </c>
      <c r="J176" s="242" t="s">
        <v>27</v>
      </c>
      <c r="K176" s="242" t="s">
        <v>27</v>
      </c>
      <c r="L176" s="242" t="s">
        <v>27</v>
      </c>
      <c r="M176" s="327" t="s">
        <v>27</v>
      </c>
      <c r="N176" s="334" t="str">
        <f t="shared" ref="N176:BA176" si="61">IF(N47&gt;=N48,"OK","BŁĄD")</f>
        <v>OK</v>
      </c>
      <c r="O176" s="43" t="str">
        <f t="shared" si="61"/>
        <v>OK</v>
      </c>
      <c r="P176" s="43" t="str">
        <f t="shared" si="61"/>
        <v>OK</v>
      </c>
      <c r="Q176" s="43" t="str">
        <f t="shared" si="61"/>
        <v>OK</v>
      </c>
      <c r="R176" s="43" t="str">
        <f t="shared" si="61"/>
        <v>OK</v>
      </c>
      <c r="S176" s="43" t="str">
        <f t="shared" si="61"/>
        <v>OK</v>
      </c>
      <c r="T176" s="43" t="str">
        <f t="shared" si="61"/>
        <v>OK</v>
      </c>
      <c r="U176" s="43" t="str">
        <f t="shared" si="61"/>
        <v>OK</v>
      </c>
      <c r="V176" s="43" t="str">
        <f t="shared" si="61"/>
        <v>OK</v>
      </c>
      <c r="W176" s="43" t="str">
        <f t="shared" si="61"/>
        <v>OK</v>
      </c>
      <c r="X176" s="43" t="str">
        <f t="shared" si="61"/>
        <v>OK</v>
      </c>
      <c r="Y176" s="43" t="str">
        <f t="shared" si="61"/>
        <v>OK</v>
      </c>
      <c r="Z176" s="43" t="str">
        <f t="shared" si="61"/>
        <v>OK</v>
      </c>
      <c r="AA176" s="43" t="str">
        <f t="shared" si="61"/>
        <v>OK</v>
      </c>
      <c r="AB176" s="43" t="str">
        <f t="shared" si="61"/>
        <v>OK</v>
      </c>
      <c r="AC176" s="43" t="str">
        <f t="shared" si="61"/>
        <v>OK</v>
      </c>
      <c r="AD176" s="43" t="str">
        <f t="shared" si="61"/>
        <v>OK</v>
      </c>
      <c r="AE176" s="43" t="str">
        <f t="shared" si="61"/>
        <v>OK</v>
      </c>
      <c r="AF176" s="43" t="str">
        <f t="shared" si="61"/>
        <v>OK</v>
      </c>
      <c r="AG176" s="43" t="str">
        <f t="shared" si="61"/>
        <v>OK</v>
      </c>
      <c r="AH176" s="43" t="str">
        <f t="shared" si="61"/>
        <v>OK</v>
      </c>
      <c r="AI176" s="43" t="str">
        <f t="shared" si="61"/>
        <v>OK</v>
      </c>
      <c r="AJ176" s="43" t="str">
        <f t="shared" si="61"/>
        <v>OK</v>
      </c>
      <c r="AK176" s="43" t="str">
        <f t="shared" si="61"/>
        <v>OK</v>
      </c>
      <c r="AL176" s="43" t="str">
        <f t="shared" si="61"/>
        <v>OK</v>
      </c>
      <c r="AM176" s="43" t="str">
        <f t="shared" si="61"/>
        <v>OK</v>
      </c>
      <c r="AN176" s="43" t="str">
        <f t="shared" si="61"/>
        <v>OK</v>
      </c>
      <c r="AO176" s="43" t="str">
        <f t="shared" si="61"/>
        <v>OK</v>
      </c>
      <c r="AP176" s="43" t="str">
        <f t="shared" si="61"/>
        <v>OK</v>
      </c>
      <c r="AQ176" s="43" t="str">
        <f t="shared" si="61"/>
        <v>OK</v>
      </c>
      <c r="AR176" s="43" t="str">
        <f t="shared" si="61"/>
        <v>OK</v>
      </c>
      <c r="AS176" s="43" t="str">
        <f t="shared" si="61"/>
        <v>OK</v>
      </c>
      <c r="AT176" s="43" t="str">
        <f t="shared" si="61"/>
        <v>OK</v>
      </c>
      <c r="AU176" s="43" t="str">
        <f t="shared" si="61"/>
        <v>OK</v>
      </c>
      <c r="AV176" s="43" t="str">
        <f t="shared" si="61"/>
        <v>OK</v>
      </c>
      <c r="AW176" s="43" t="str">
        <f t="shared" si="61"/>
        <v>OK</v>
      </c>
      <c r="AX176" s="43" t="str">
        <f t="shared" si="61"/>
        <v>OK</v>
      </c>
      <c r="AY176" s="43" t="str">
        <f t="shared" si="61"/>
        <v>OK</v>
      </c>
      <c r="AZ176" s="43" t="str">
        <f t="shared" si="61"/>
        <v>OK</v>
      </c>
      <c r="BA176" s="44" t="str">
        <f t="shared" si="61"/>
        <v>OK</v>
      </c>
    </row>
    <row r="177" spans="1:53" s="246" customFormat="1" outlineLevel="1">
      <c r="A177" s="244"/>
      <c r="B177" s="244"/>
      <c r="C177" s="241" t="s">
        <v>138</v>
      </c>
      <c r="D177" s="121" t="s">
        <v>401</v>
      </c>
      <c r="E177" s="245" t="s">
        <v>435</v>
      </c>
      <c r="F177" s="326" t="s">
        <v>27</v>
      </c>
      <c r="G177" s="242" t="s">
        <v>27</v>
      </c>
      <c r="H177" s="242" t="s">
        <v>27</v>
      </c>
      <c r="I177" s="242" t="s">
        <v>27</v>
      </c>
      <c r="J177" s="242" t="s">
        <v>27</v>
      </c>
      <c r="K177" s="242" t="s">
        <v>27</v>
      </c>
      <c r="L177" s="242" t="s">
        <v>27</v>
      </c>
      <c r="M177" s="327" t="s">
        <v>27</v>
      </c>
      <c r="N177" s="334" t="str">
        <f t="shared" ref="N177:BA177" si="62">IF(N47&gt;=N34,"OK","BŁĄD")</f>
        <v>OK</v>
      </c>
      <c r="O177" s="43" t="str">
        <f t="shared" si="62"/>
        <v>OK</v>
      </c>
      <c r="P177" s="43" t="str">
        <f t="shared" si="62"/>
        <v>OK</v>
      </c>
      <c r="Q177" s="43" t="str">
        <f t="shared" si="62"/>
        <v>OK</v>
      </c>
      <c r="R177" s="43" t="str">
        <f t="shared" si="62"/>
        <v>OK</v>
      </c>
      <c r="S177" s="43" t="str">
        <f t="shared" si="62"/>
        <v>OK</v>
      </c>
      <c r="T177" s="43" t="str">
        <f t="shared" si="62"/>
        <v>OK</v>
      </c>
      <c r="U177" s="43" t="str">
        <f t="shared" si="62"/>
        <v>OK</v>
      </c>
      <c r="V177" s="43" t="str">
        <f t="shared" si="62"/>
        <v>OK</v>
      </c>
      <c r="W177" s="43" t="str">
        <f t="shared" si="62"/>
        <v>OK</v>
      </c>
      <c r="X177" s="43" t="str">
        <f t="shared" si="62"/>
        <v>OK</v>
      </c>
      <c r="Y177" s="43" t="str">
        <f t="shared" si="62"/>
        <v>OK</v>
      </c>
      <c r="Z177" s="43" t="str">
        <f t="shared" si="62"/>
        <v>OK</v>
      </c>
      <c r="AA177" s="43" t="str">
        <f t="shared" si="62"/>
        <v>OK</v>
      </c>
      <c r="AB177" s="43" t="str">
        <f t="shared" si="62"/>
        <v>OK</v>
      </c>
      <c r="AC177" s="43" t="str">
        <f t="shared" si="62"/>
        <v>OK</v>
      </c>
      <c r="AD177" s="43" t="str">
        <f t="shared" si="62"/>
        <v>OK</v>
      </c>
      <c r="AE177" s="43" t="str">
        <f t="shared" si="62"/>
        <v>OK</v>
      </c>
      <c r="AF177" s="43" t="str">
        <f t="shared" si="62"/>
        <v>OK</v>
      </c>
      <c r="AG177" s="43" t="str">
        <f t="shared" si="62"/>
        <v>OK</v>
      </c>
      <c r="AH177" s="43" t="str">
        <f t="shared" si="62"/>
        <v>OK</v>
      </c>
      <c r="AI177" s="43" t="str">
        <f t="shared" si="62"/>
        <v>OK</v>
      </c>
      <c r="AJ177" s="43" t="str">
        <f t="shared" si="62"/>
        <v>OK</v>
      </c>
      <c r="AK177" s="43" t="str">
        <f t="shared" si="62"/>
        <v>OK</v>
      </c>
      <c r="AL177" s="43" t="str">
        <f t="shared" si="62"/>
        <v>OK</v>
      </c>
      <c r="AM177" s="43" t="str">
        <f t="shared" si="62"/>
        <v>OK</v>
      </c>
      <c r="AN177" s="43" t="str">
        <f t="shared" si="62"/>
        <v>OK</v>
      </c>
      <c r="AO177" s="43" t="str">
        <f t="shared" si="62"/>
        <v>OK</v>
      </c>
      <c r="AP177" s="43" t="str">
        <f t="shared" si="62"/>
        <v>OK</v>
      </c>
      <c r="AQ177" s="43" t="str">
        <f t="shared" si="62"/>
        <v>OK</v>
      </c>
      <c r="AR177" s="43" t="str">
        <f t="shared" si="62"/>
        <v>OK</v>
      </c>
      <c r="AS177" s="43" t="str">
        <f t="shared" si="62"/>
        <v>OK</v>
      </c>
      <c r="AT177" s="43" t="str">
        <f t="shared" si="62"/>
        <v>OK</v>
      </c>
      <c r="AU177" s="43" t="str">
        <f t="shared" si="62"/>
        <v>OK</v>
      </c>
      <c r="AV177" s="43" t="str">
        <f t="shared" si="62"/>
        <v>OK</v>
      </c>
      <c r="AW177" s="43" t="str">
        <f t="shared" si="62"/>
        <v>OK</v>
      </c>
      <c r="AX177" s="43" t="str">
        <f t="shared" si="62"/>
        <v>OK</v>
      </c>
      <c r="AY177" s="43" t="str">
        <f t="shared" si="62"/>
        <v>OK</v>
      </c>
      <c r="AZ177" s="43" t="str">
        <f t="shared" si="62"/>
        <v>OK</v>
      </c>
      <c r="BA177" s="44" t="str">
        <f t="shared" si="62"/>
        <v>OK</v>
      </c>
    </row>
    <row r="178" spans="1:53" s="246" customFormat="1" outlineLevel="1">
      <c r="A178" s="244"/>
      <c r="B178" s="244"/>
      <c r="C178" s="241" t="s">
        <v>139</v>
      </c>
      <c r="D178" s="121" t="s">
        <v>402</v>
      </c>
      <c r="E178" s="248" t="s">
        <v>534</v>
      </c>
      <c r="F178" s="326" t="s">
        <v>27</v>
      </c>
      <c r="G178" s="242" t="s">
        <v>27</v>
      </c>
      <c r="H178" s="242" t="s">
        <v>27</v>
      </c>
      <c r="I178" s="242" t="s">
        <v>27</v>
      </c>
      <c r="J178" s="242" t="s">
        <v>27</v>
      </c>
      <c r="K178" s="242" t="s">
        <v>27</v>
      </c>
      <c r="L178" s="242" t="s">
        <v>27</v>
      </c>
      <c r="M178" s="327" t="s">
        <v>27</v>
      </c>
      <c r="N178" s="336" t="str">
        <f t="shared" ref="N178:BA178" si="63">IF(ROUND(N47-N98,2)=0,"bz",ROUND(N47-N98,2))</f>
        <v>bz</v>
      </c>
      <c r="O178" s="124" t="str">
        <f t="shared" si="63"/>
        <v>bz</v>
      </c>
      <c r="P178" s="124" t="str">
        <f t="shared" si="63"/>
        <v>bz</v>
      </c>
      <c r="Q178" s="124" t="str">
        <f t="shared" si="63"/>
        <v>bz</v>
      </c>
      <c r="R178" s="124" t="str">
        <f t="shared" si="63"/>
        <v>bz</v>
      </c>
      <c r="S178" s="124" t="str">
        <f t="shared" si="63"/>
        <v>bz</v>
      </c>
      <c r="T178" s="124" t="str">
        <f t="shared" si="63"/>
        <v>bz</v>
      </c>
      <c r="U178" s="124">
        <f t="shared" si="63"/>
        <v>1000000</v>
      </c>
      <c r="V178" s="124">
        <f t="shared" si="63"/>
        <v>1500000</v>
      </c>
      <c r="W178" s="124">
        <f t="shared" si="63"/>
        <v>1500000</v>
      </c>
      <c r="X178" s="124">
        <f t="shared" si="63"/>
        <v>1750000</v>
      </c>
      <c r="Y178" s="124">
        <f t="shared" si="63"/>
        <v>1750000</v>
      </c>
      <c r="Z178" s="124" t="str">
        <f t="shared" si="63"/>
        <v>bz</v>
      </c>
      <c r="AA178" s="124" t="str">
        <f t="shared" si="63"/>
        <v>bz</v>
      </c>
      <c r="AB178" s="124" t="str">
        <f t="shared" si="63"/>
        <v>bz</v>
      </c>
      <c r="AC178" s="124" t="str">
        <f t="shared" si="63"/>
        <v>bz</v>
      </c>
      <c r="AD178" s="124" t="str">
        <f t="shared" si="63"/>
        <v>bz</v>
      </c>
      <c r="AE178" s="124" t="str">
        <f t="shared" si="63"/>
        <v>bz</v>
      </c>
      <c r="AF178" s="124" t="str">
        <f t="shared" si="63"/>
        <v>bz</v>
      </c>
      <c r="AG178" s="124" t="str">
        <f t="shared" si="63"/>
        <v>bz</v>
      </c>
      <c r="AH178" s="124" t="str">
        <f t="shared" si="63"/>
        <v>bz</v>
      </c>
      <c r="AI178" s="124" t="str">
        <f t="shared" si="63"/>
        <v>bz</v>
      </c>
      <c r="AJ178" s="124" t="str">
        <f t="shared" si="63"/>
        <v>bz</v>
      </c>
      <c r="AK178" s="124" t="str">
        <f t="shared" si="63"/>
        <v>bz</v>
      </c>
      <c r="AL178" s="124" t="str">
        <f t="shared" si="63"/>
        <v>bz</v>
      </c>
      <c r="AM178" s="124" t="str">
        <f t="shared" si="63"/>
        <v>bz</v>
      </c>
      <c r="AN178" s="124" t="str">
        <f t="shared" si="63"/>
        <v>bz</v>
      </c>
      <c r="AO178" s="124" t="str">
        <f t="shared" si="63"/>
        <v>bz</v>
      </c>
      <c r="AP178" s="124" t="str">
        <f t="shared" si="63"/>
        <v>bz</v>
      </c>
      <c r="AQ178" s="124" t="str">
        <f t="shared" si="63"/>
        <v>bz</v>
      </c>
      <c r="AR178" s="124" t="str">
        <f t="shared" si="63"/>
        <v>bz</v>
      </c>
      <c r="AS178" s="124" t="str">
        <f t="shared" si="63"/>
        <v>bz</v>
      </c>
      <c r="AT178" s="124" t="str">
        <f t="shared" si="63"/>
        <v>bz</v>
      </c>
      <c r="AU178" s="124" t="str">
        <f t="shared" si="63"/>
        <v>bz</v>
      </c>
      <c r="AV178" s="124" t="str">
        <f t="shared" si="63"/>
        <v>bz</v>
      </c>
      <c r="AW178" s="124" t="str">
        <f t="shared" si="63"/>
        <v>bz</v>
      </c>
      <c r="AX178" s="124" t="str">
        <f t="shared" si="63"/>
        <v>bz</v>
      </c>
      <c r="AY178" s="124" t="str">
        <f t="shared" si="63"/>
        <v>bz</v>
      </c>
      <c r="AZ178" s="124" t="str">
        <f t="shared" si="63"/>
        <v>bz</v>
      </c>
      <c r="BA178" s="125" t="str">
        <f t="shared" si="63"/>
        <v>bz</v>
      </c>
    </row>
    <row r="179" spans="1:53" s="246" customFormat="1" ht="54" outlineLevel="1">
      <c r="A179" s="244"/>
      <c r="B179" s="244"/>
      <c r="C179" s="241" t="s">
        <v>142</v>
      </c>
      <c r="D179" s="121" t="s">
        <v>404</v>
      </c>
      <c r="E179" s="248" t="s">
        <v>670</v>
      </c>
      <c r="F179" s="326" t="s">
        <v>27</v>
      </c>
      <c r="G179" s="242" t="s">
        <v>27</v>
      </c>
      <c r="H179" s="242" t="s">
        <v>27</v>
      </c>
      <c r="I179" s="242" t="s">
        <v>27</v>
      </c>
      <c r="J179" s="242" t="s">
        <v>27</v>
      </c>
      <c r="K179" s="242" t="s">
        <v>27</v>
      </c>
      <c r="L179" s="242" t="s">
        <v>27</v>
      </c>
      <c r="M179" s="327" t="s">
        <v>27</v>
      </c>
      <c r="N179" s="336" t="str">
        <f t="shared" ref="N179:BA179" si="64">IF(ROUND(N48-SUM(N49:N51),2)&lt;&gt;0,ROUND(N48-SUM(N49:N51),2),"OK")</f>
        <v>OK</v>
      </c>
      <c r="O179" s="124" t="str">
        <f t="shared" si="64"/>
        <v>OK</v>
      </c>
      <c r="P179" s="124" t="str">
        <f t="shared" si="64"/>
        <v>OK</v>
      </c>
      <c r="Q179" s="124" t="str">
        <f t="shared" si="64"/>
        <v>OK</v>
      </c>
      <c r="R179" s="124" t="str">
        <f t="shared" si="64"/>
        <v>OK</v>
      </c>
      <c r="S179" s="124" t="str">
        <f t="shared" si="64"/>
        <v>OK</v>
      </c>
      <c r="T179" s="124" t="str">
        <f t="shared" si="64"/>
        <v>OK</v>
      </c>
      <c r="U179" s="124" t="str">
        <f t="shared" si="64"/>
        <v>OK</v>
      </c>
      <c r="V179" s="124" t="str">
        <f t="shared" si="64"/>
        <v>OK</v>
      </c>
      <c r="W179" s="124" t="str">
        <f t="shared" si="64"/>
        <v>OK</v>
      </c>
      <c r="X179" s="124" t="str">
        <f t="shared" si="64"/>
        <v>OK</v>
      </c>
      <c r="Y179" s="124" t="str">
        <f t="shared" si="64"/>
        <v>OK</v>
      </c>
      <c r="Z179" s="124" t="str">
        <f t="shared" si="64"/>
        <v>OK</v>
      </c>
      <c r="AA179" s="124" t="str">
        <f t="shared" si="64"/>
        <v>OK</v>
      </c>
      <c r="AB179" s="124" t="str">
        <f t="shared" si="64"/>
        <v>OK</v>
      </c>
      <c r="AC179" s="124" t="str">
        <f t="shared" si="64"/>
        <v>OK</v>
      </c>
      <c r="AD179" s="124" t="str">
        <f t="shared" si="64"/>
        <v>OK</v>
      </c>
      <c r="AE179" s="124" t="str">
        <f t="shared" si="64"/>
        <v>OK</v>
      </c>
      <c r="AF179" s="124" t="str">
        <f t="shared" si="64"/>
        <v>OK</v>
      </c>
      <c r="AG179" s="124" t="str">
        <f t="shared" si="64"/>
        <v>OK</v>
      </c>
      <c r="AH179" s="124" t="str">
        <f t="shared" si="64"/>
        <v>OK</v>
      </c>
      <c r="AI179" s="124" t="str">
        <f t="shared" si="64"/>
        <v>OK</v>
      </c>
      <c r="AJ179" s="124" t="str">
        <f t="shared" si="64"/>
        <v>OK</v>
      </c>
      <c r="AK179" s="124" t="str">
        <f t="shared" si="64"/>
        <v>OK</v>
      </c>
      <c r="AL179" s="124" t="str">
        <f t="shared" si="64"/>
        <v>OK</v>
      </c>
      <c r="AM179" s="124" t="str">
        <f t="shared" si="64"/>
        <v>OK</v>
      </c>
      <c r="AN179" s="124" t="str">
        <f t="shared" si="64"/>
        <v>OK</v>
      </c>
      <c r="AO179" s="124" t="str">
        <f t="shared" si="64"/>
        <v>OK</v>
      </c>
      <c r="AP179" s="124" t="str">
        <f t="shared" si="64"/>
        <v>OK</v>
      </c>
      <c r="AQ179" s="124" t="str">
        <f t="shared" si="64"/>
        <v>OK</v>
      </c>
      <c r="AR179" s="124" t="str">
        <f t="shared" si="64"/>
        <v>OK</v>
      </c>
      <c r="AS179" s="124" t="str">
        <f t="shared" si="64"/>
        <v>OK</v>
      </c>
      <c r="AT179" s="124" t="str">
        <f t="shared" si="64"/>
        <v>OK</v>
      </c>
      <c r="AU179" s="124" t="str">
        <f t="shared" si="64"/>
        <v>OK</v>
      </c>
      <c r="AV179" s="124" t="str">
        <f t="shared" si="64"/>
        <v>OK</v>
      </c>
      <c r="AW179" s="124" t="str">
        <f t="shared" si="64"/>
        <v>OK</v>
      </c>
      <c r="AX179" s="124" t="str">
        <f t="shared" si="64"/>
        <v>OK</v>
      </c>
      <c r="AY179" s="124" t="str">
        <f t="shared" si="64"/>
        <v>OK</v>
      </c>
      <c r="AZ179" s="124" t="str">
        <f t="shared" si="64"/>
        <v>OK</v>
      </c>
      <c r="BA179" s="125" t="str">
        <f t="shared" si="64"/>
        <v>OK</v>
      </c>
    </row>
    <row r="180" spans="1:53" s="246" customFormat="1" outlineLevel="1">
      <c r="A180" s="244"/>
      <c r="B180" s="244"/>
      <c r="C180" s="241"/>
      <c r="D180" s="121"/>
      <c r="E180" s="245" t="s">
        <v>597</v>
      </c>
      <c r="F180" s="326" t="s">
        <v>27</v>
      </c>
      <c r="G180" s="242" t="s">
        <v>27</v>
      </c>
      <c r="H180" s="242" t="s">
        <v>27</v>
      </c>
      <c r="I180" s="242" t="s">
        <v>27</v>
      </c>
      <c r="J180" s="242" t="s">
        <v>27</v>
      </c>
      <c r="K180" s="242" t="s">
        <v>27</v>
      </c>
      <c r="L180" s="242" t="s">
        <v>27</v>
      </c>
      <c r="M180" s="327" t="s">
        <v>27</v>
      </c>
      <c r="N180" s="336" t="str">
        <f t="shared" ref="N180:BA180" si="65">IF(IdRozp="A7F0",IF(ROUND(N48-SUM(N49:N51,N55),2)&lt;&gt;0,ROUND(N48-SUM(N49:N51,N55),2),"OK"),"nd")</f>
        <v>nd</v>
      </c>
      <c r="O180" s="124" t="str">
        <f t="shared" si="65"/>
        <v>nd</v>
      </c>
      <c r="P180" s="124" t="str">
        <f t="shared" si="65"/>
        <v>nd</v>
      </c>
      <c r="Q180" s="124" t="str">
        <f t="shared" si="65"/>
        <v>nd</v>
      </c>
      <c r="R180" s="124" t="str">
        <f t="shared" si="65"/>
        <v>nd</v>
      </c>
      <c r="S180" s="124" t="str">
        <f t="shared" si="65"/>
        <v>nd</v>
      </c>
      <c r="T180" s="124" t="str">
        <f t="shared" si="65"/>
        <v>nd</v>
      </c>
      <c r="U180" s="124" t="str">
        <f t="shared" si="65"/>
        <v>nd</v>
      </c>
      <c r="V180" s="124" t="str">
        <f t="shared" si="65"/>
        <v>nd</v>
      </c>
      <c r="W180" s="124" t="str">
        <f t="shared" si="65"/>
        <v>nd</v>
      </c>
      <c r="X180" s="124" t="str">
        <f t="shared" si="65"/>
        <v>nd</v>
      </c>
      <c r="Y180" s="124" t="str">
        <f t="shared" si="65"/>
        <v>nd</v>
      </c>
      <c r="Z180" s="124" t="str">
        <f t="shared" si="65"/>
        <v>nd</v>
      </c>
      <c r="AA180" s="124" t="str">
        <f t="shared" si="65"/>
        <v>nd</v>
      </c>
      <c r="AB180" s="124" t="str">
        <f t="shared" si="65"/>
        <v>nd</v>
      </c>
      <c r="AC180" s="124" t="str">
        <f t="shared" si="65"/>
        <v>nd</v>
      </c>
      <c r="AD180" s="124" t="str">
        <f t="shared" si="65"/>
        <v>nd</v>
      </c>
      <c r="AE180" s="124" t="str">
        <f t="shared" si="65"/>
        <v>nd</v>
      </c>
      <c r="AF180" s="124" t="str">
        <f t="shared" si="65"/>
        <v>nd</v>
      </c>
      <c r="AG180" s="124" t="str">
        <f t="shared" si="65"/>
        <v>nd</v>
      </c>
      <c r="AH180" s="124" t="str">
        <f t="shared" si="65"/>
        <v>nd</v>
      </c>
      <c r="AI180" s="124" t="str">
        <f t="shared" si="65"/>
        <v>nd</v>
      </c>
      <c r="AJ180" s="124" t="str">
        <f t="shared" si="65"/>
        <v>nd</v>
      </c>
      <c r="AK180" s="124" t="str">
        <f t="shared" si="65"/>
        <v>nd</v>
      </c>
      <c r="AL180" s="124" t="str">
        <f t="shared" si="65"/>
        <v>nd</v>
      </c>
      <c r="AM180" s="124" t="str">
        <f t="shared" si="65"/>
        <v>nd</v>
      </c>
      <c r="AN180" s="124" t="str">
        <f t="shared" si="65"/>
        <v>nd</v>
      </c>
      <c r="AO180" s="124" t="str">
        <f t="shared" si="65"/>
        <v>nd</v>
      </c>
      <c r="AP180" s="124" t="str">
        <f t="shared" si="65"/>
        <v>nd</v>
      </c>
      <c r="AQ180" s="124" t="str">
        <f t="shared" si="65"/>
        <v>nd</v>
      </c>
      <c r="AR180" s="124" t="str">
        <f t="shared" si="65"/>
        <v>nd</v>
      </c>
      <c r="AS180" s="124" t="str">
        <f t="shared" si="65"/>
        <v>nd</v>
      </c>
      <c r="AT180" s="124" t="str">
        <f t="shared" si="65"/>
        <v>nd</v>
      </c>
      <c r="AU180" s="124" t="str">
        <f t="shared" si="65"/>
        <v>nd</v>
      </c>
      <c r="AV180" s="124" t="str">
        <f t="shared" si="65"/>
        <v>nd</v>
      </c>
      <c r="AW180" s="124" t="str">
        <f t="shared" si="65"/>
        <v>nd</v>
      </c>
      <c r="AX180" s="124" t="str">
        <f t="shared" si="65"/>
        <v>nd</v>
      </c>
      <c r="AY180" s="124" t="str">
        <f t="shared" si="65"/>
        <v>nd</v>
      </c>
      <c r="AZ180" s="124" t="str">
        <f t="shared" si="65"/>
        <v>nd</v>
      </c>
      <c r="BA180" s="125" t="str">
        <f t="shared" si="65"/>
        <v>nd</v>
      </c>
    </row>
    <row r="181" spans="1:53" s="246" customFormat="1" outlineLevel="1">
      <c r="A181" s="244"/>
      <c r="B181" s="244"/>
      <c r="C181" s="241" t="s">
        <v>141</v>
      </c>
      <c r="D181" s="121" t="s">
        <v>405</v>
      </c>
      <c r="E181" s="245" t="s">
        <v>436</v>
      </c>
      <c r="F181" s="326" t="s">
        <v>27</v>
      </c>
      <c r="G181" s="242" t="s">
        <v>27</v>
      </c>
      <c r="H181" s="242" t="s">
        <v>27</v>
      </c>
      <c r="I181" s="242" t="s">
        <v>27</v>
      </c>
      <c r="J181" s="242" t="s">
        <v>27</v>
      </c>
      <c r="K181" s="242" t="s">
        <v>27</v>
      </c>
      <c r="L181" s="242" t="s">
        <v>27</v>
      </c>
      <c r="M181" s="327" t="s">
        <v>27</v>
      </c>
      <c r="N181" s="334" t="str">
        <f t="shared" ref="N181:BA181" si="66">IF(ROUND(N51-SUM(N52:N54),2)=0,"OK","BŁĄD")</f>
        <v>OK</v>
      </c>
      <c r="O181" s="43" t="str">
        <f t="shared" si="66"/>
        <v>OK</v>
      </c>
      <c r="P181" s="43" t="str">
        <f t="shared" si="66"/>
        <v>OK</v>
      </c>
      <c r="Q181" s="43" t="str">
        <f t="shared" si="66"/>
        <v>OK</v>
      </c>
      <c r="R181" s="43" t="str">
        <f t="shared" si="66"/>
        <v>OK</v>
      </c>
      <c r="S181" s="43" t="str">
        <f t="shared" si="66"/>
        <v>OK</v>
      </c>
      <c r="T181" s="43" t="str">
        <f t="shared" si="66"/>
        <v>OK</v>
      </c>
      <c r="U181" s="43" t="str">
        <f t="shared" si="66"/>
        <v>OK</v>
      </c>
      <c r="V181" s="43" t="str">
        <f t="shared" si="66"/>
        <v>OK</v>
      </c>
      <c r="W181" s="43" t="str">
        <f t="shared" si="66"/>
        <v>OK</v>
      </c>
      <c r="X181" s="43" t="str">
        <f t="shared" si="66"/>
        <v>OK</v>
      </c>
      <c r="Y181" s="43" t="str">
        <f t="shared" si="66"/>
        <v>OK</v>
      </c>
      <c r="Z181" s="43" t="str">
        <f t="shared" si="66"/>
        <v>OK</v>
      </c>
      <c r="AA181" s="43" t="str">
        <f t="shared" si="66"/>
        <v>OK</v>
      </c>
      <c r="AB181" s="43" t="str">
        <f t="shared" si="66"/>
        <v>OK</v>
      </c>
      <c r="AC181" s="43" t="str">
        <f t="shared" si="66"/>
        <v>OK</v>
      </c>
      <c r="AD181" s="43" t="str">
        <f t="shared" si="66"/>
        <v>OK</v>
      </c>
      <c r="AE181" s="43" t="str">
        <f t="shared" si="66"/>
        <v>OK</v>
      </c>
      <c r="AF181" s="43" t="str">
        <f t="shared" si="66"/>
        <v>OK</v>
      </c>
      <c r="AG181" s="43" t="str">
        <f t="shared" si="66"/>
        <v>OK</v>
      </c>
      <c r="AH181" s="43" t="str">
        <f t="shared" si="66"/>
        <v>OK</v>
      </c>
      <c r="AI181" s="43" t="str">
        <f t="shared" si="66"/>
        <v>OK</v>
      </c>
      <c r="AJ181" s="43" t="str">
        <f t="shared" si="66"/>
        <v>OK</v>
      </c>
      <c r="AK181" s="43" t="str">
        <f t="shared" si="66"/>
        <v>OK</v>
      </c>
      <c r="AL181" s="43" t="str">
        <f t="shared" si="66"/>
        <v>OK</v>
      </c>
      <c r="AM181" s="43" t="str">
        <f t="shared" si="66"/>
        <v>OK</v>
      </c>
      <c r="AN181" s="43" t="str">
        <f t="shared" si="66"/>
        <v>OK</v>
      </c>
      <c r="AO181" s="43" t="str">
        <f t="shared" si="66"/>
        <v>OK</v>
      </c>
      <c r="AP181" s="43" t="str">
        <f t="shared" si="66"/>
        <v>OK</v>
      </c>
      <c r="AQ181" s="43" t="str">
        <f t="shared" si="66"/>
        <v>OK</v>
      </c>
      <c r="AR181" s="43" t="str">
        <f t="shared" si="66"/>
        <v>OK</v>
      </c>
      <c r="AS181" s="43" t="str">
        <f t="shared" si="66"/>
        <v>OK</v>
      </c>
      <c r="AT181" s="43" t="str">
        <f t="shared" si="66"/>
        <v>OK</v>
      </c>
      <c r="AU181" s="43" t="str">
        <f t="shared" si="66"/>
        <v>OK</v>
      </c>
      <c r="AV181" s="43" t="str">
        <f t="shared" si="66"/>
        <v>OK</v>
      </c>
      <c r="AW181" s="43" t="str">
        <f t="shared" si="66"/>
        <v>OK</v>
      </c>
      <c r="AX181" s="43" t="str">
        <f t="shared" si="66"/>
        <v>OK</v>
      </c>
      <c r="AY181" s="43" t="str">
        <f t="shared" si="66"/>
        <v>OK</v>
      </c>
      <c r="AZ181" s="43" t="str">
        <f t="shared" si="66"/>
        <v>OK</v>
      </c>
      <c r="BA181" s="44" t="str">
        <f t="shared" si="66"/>
        <v>OK</v>
      </c>
    </row>
    <row r="182" spans="1:53" s="246" customFormat="1" outlineLevel="1">
      <c r="A182" s="244"/>
      <c r="B182" s="244"/>
      <c r="C182" s="241" t="s">
        <v>143</v>
      </c>
      <c r="D182" s="121" t="s">
        <v>403</v>
      </c>
      <c r="E182" s="245" t="s">
        <v>437</v>
      </c>
      <c r="F182" s="326" t="s">
        <v>27</v>
      </c>
      <c r="G182" s="242" t="s">
        <v>27</v>
      </c>
      <c r="H182" s="242" t="s">
        <v>27</v>
      </c>
      <c r="I182" s="242" t="s">
        <v>27</v>
      </c>
      <c r="J182" s="242" t="s">
        <v>27</v>
      </c>
      <c r="K182" s="242" t="s">
        <v>27</v>
      </c>
      <c r="L182" s="242" t="s">
        <v>27</v>
      </c>
      <c r="M182" s="327" t="s">
        <v>27</v>
      </c>
      <c r="N182" s="334" t="str">
        <f t="shared" ref="N182:BA182" si="67">IF(N57&gt;=N58,"OK","BŁĄD")</f>
        <v>OK</v>
      </c>
      <c r="O182" s="43" t="str">
        <f t="shared" si="67"/>
        <v>OK</v>
      </c>
      <c r="P182" s="43" t="str">
        <f t="shared" si="67"/>
        <v>OK</v>
      </c>
      <c r="Q182" s="43" t="str">
        <f t="shared" si="67"/>
        <v>OK</v>
      </c>
      <c r="R182" s="43" t="str">
        <f t="shared" si="67"/>
        <v>OK</v>
      </c>
      <c r="S182" s="43" t="str">
        <f t="shared" si="67"/>
        <v>OK</v>
      </c>
      <c r="T182" s="43" t="str">
        <f t="shared" si="67"/>
        <v>OK</v>
      </c>
      <c r="U182" s="43" t="str">
        <f t="shared" si="67"/>
        <v>OK</v>
      </c>
      <c r="V182" s="43" t="str">
        <f t="shared" si="67"/>
        <v>OK</v>
      </c>
      <c r="W182" s="43" t="str">
        <f t="shared" si="67"/>
        <v>OK</v>
      </c>
      <c r="X182" s="43" t="str">
        <f t="shared" si="67"/>
        <v>OK</v>
      </c>
      <c r="Y182" s="43" t="str">
        <f t="shared" si="67"/>
        <v>OK</v>
      </c>
      <c r="Z182" s="43" t="str">
        <f t="shared" si="67"/>
        <v>OK</v>
      </c>
      <c r="AA182" s="43" t="str">
        <f t="shared" si="67"/>
        <v>OK</v>
      </c>
      <c r="AB182" s="43" t="str">
        <f t="shared" si="67"/>
        <v>OK</v>
      </c>
      <c r="AC182" s="43" t="str">
        <f t="shared" si="67"/>
        <v>OK</v>
      </c>
      <c r="AD182" s="43" t="str">
        <f t="shared" si="67"/>
        <v>OK</v>
      </c>
      <c r="AE182" s="43" t="str">
        <f t="shared" si="67"/>
        <v>OK</v>
      </c>
      <c r="AF182" s="43" t="str">
        <f t="shared" si="67"/>
        <v>OK</v>
      </c>
      <c r="AG182" s="43" t="str">
        <f t="shared" si="67"/>
        <v>OK</v>
      </c>
      <c r="AH182" s="43" t="str">
        <f t="shared" si="67"/>
        <v>OK</v>
      </c>
      <c r="AI182" s="43" t="str">
        <f t="shared" si="67"/>
        <v>OK</v>
      </c>
      <c r="AJ182" s="43" t="str">
        <f t="shared" si="67"/>
        <v>OK</v>
      </c>
      <c r="AK182" s="43" t="str">
        <f t="shared" si="67"/>
        <v>OK</v>
      </c>
      <c r="AL182" s="43" t="str">
        <f t="shared" si="67"/>
        <v>OK</v>
      </c>
      <c r="AM182" s="43" t="str">
        <f t="shared" si="67"/>
        <v>OK</v>
      </c>
      <c r="AN182" s="43" t="str">
        <f t="shared" si="67"/>
        <v>OK</v>
      </c>
      <c r="AO182" s="43" t="str">
        <f t="shared" si="67"/>
        <v>OK</v>
      </c>
      <c r="AP182" s="43" t="str">
        <f t="shared" si="67"/>
        <v>OK</v>
      </c>
      <c r="AQ182" s="43" t="str">
        <f t="shared" si="67"/>
        <v>OK</v>
      </c>
      <c r="AR182" s="43" t="str">
        <f t="shared" si="67"/>
        <v>OK</v>
      </c>
      <c r="AS182" s="43" t="str">
        <f t="shared" si="67"/>
        <v>OK</v>
      </c>
      <c r="AT182" s="43" t="str">
        <f t="shared" si="67"/>
        <v>OK</v>
      </c>
      <c r="AU182" s="43" t="str">
        <f t="shared" si="67"/>
        <v>OK</v>
      </c>
      <c r="AV182" s="43" t="str">
        <f t="shared" si="67"/>
        <v>OK</v>
      </c>
      <c r="AW182" s="43" t="str">
        <f t="shared" si="67"/>
        <v>OK</v>
      </c>
      <c r="AX182" s="43" t="str">
        <f t="shared" si="67"/>
        <v>OK</v>
      </c>
      <c r="AY182" s="43" t="str">
        <f t="shared" si="67"/>
        <v>OK</v>
      </c>
      <c r="AZ182" s="43" t="str">
        <f t="shared" si="67"/>
        <v>OK</v>
      </c>
      <c r="BA182" s="44" t="str">
        <f t="shared" si="67"/>
        <v>OK</v>
      </c>
    </row>
    <row r="183" spans="1:53" s="246" customFormat="1" outlineLevel="1">
      <c r="A183" s="244"/>
      <c r="B183" s="244"/>
      <c r="C183" s="241" t="s">
        <v>114</v>
      </c>
      <c r="D183" s="121" t="s">
        <v>408</v>
      </c>
      <c r="E183" s="245" t="s">
        <v>438</v>
      </c>
      <c r="F183" s="326" t="s">
        <v>27</v>
      </c>
      <c r="G183" s="242" t="s">
        <v>27</v>
      </c>
      <c r="H183" s="242" t="s">
        <v>27</v>
      </c>
      <c r="I183" s="242" t="s">
        <v>27</v>
      </c>
      <c r="J183" s="242" t="s">
        <v>27</v>
      </c>
      <c r="K183" s="242" t="s">
        <v>27</v>
      </c>
      <c r="L183" s="242" t="s">
        <v>27</v>
      </c>
      <c r="M183" s="327" t="s">
        <v>27</v>
      </c>
      <c r="N183" s="334" t="str">
        <f t="shared" ref="N183:BA184" si="68">IF(N78&gt;=N79,"OK","BŁĄD")</f>
        <v>OK</v>
      </c>
      <c r="O183" s="43" t="str">
        <f t="shared" si="68"/>
        <v>OK</v>
      </c>
      <c r="P183" s="43" t="str">
        <f t="shared" si="68"/>
        <v>OK</v>
      </c>
      <c r="Q183" s="43" t="str">
        <f t="shared" si="68"/>
        <v>OK</v>
      </c>
      <c r="R183" s="43" t="str">
        <f t="shared" si="68"/>
        <v>OK</v>
      </c>
      <c r="S183" s="43" t="str">
        <f t="shared" si="68"/>
        <v>OK</v>
      </c>
      <c r="T183" s="43" t="str">
        <f t="shared" si="68"/>
        <v>OK</v>
      </c>
      <c r="U183" s="43" t="str">
        <f t="shared" si="68"/>
        <v>OK</v>
      </c>
      <c r="V183" s="43" t="str">
        <f t="shared" si="68"/>
        <v>OK</v>
      </c>
      <c r="W183" s="43" t="str">
        <f t="shared" si="68"/>
        <v>OK</v>
      </c>
      <c r="X183" s="43" t="str">
        <f t="shared" si="68"/>
        <v>OK</v>
      </c>
      <c r="Y183" s="43" t="str">
        <f t="shared" si="68"/>
        <v>OK</v>
      </c>
      <c r="Z183" s="43" t="str">
        <f t="shared" si="68"/>
        <v>OK</v>
      </c>
      <c r="AA183" s="43" t="str">
        <f t="shared" si="68"/>
        <v>OK</v>
      </c>
      <c r="AB183" s="43" t="str">
        <f t="shared" si="68"/>
        <v>OK</v>
      </c>
      <c r="AC183" s="43" t="str">
        <f t="shared" si="68"/>
        <v>OK</v>
      </c>
      <c r="AD183" s="43" t="str">
        <f t="shared" si="68"/>
        <v>OK</v>
      </c>
      <c r="AE183" s="43" t="str">
        <f t="shared" si="68"/>
        <v>OK</v>
      </c>
      <c r="AF183" s="43" t="str">
        <f t="shared" si="68"/>
        <v>OK</v>
      </c>
      <c r="AG183" s="43" t="str">
        <f t="shared" si="68"/>
        <v>OK</v>
      </c>
      <c r="AH183" s="43" t="str">
        <f t="shared" si="68"/>
        <v>OK</v>
      </c>
      <c r="AI183" s="43" t="str">
        <f t="shared" si="68"/>
        <v>OK</v>
      </c>
      <c r="AJ183" s="43" t="str">
        <f t="shared" si="68"/>
        <v>OK</v>
      </c>
      <c r="AK183" s="43" t="str">
        <f t="shared" si="68"/>
        <v>OK</v>
      </c>
      <c r="AL183" s="43" t="str">
        <f t="shared" si="68"/>
        <v>OK</v>
      </c>
      <c r="AM183" s="43" t="str">
        <f t="shared" si="68"/>
        <v>OK</v>
      </c>
      <c r="AN183" s="43" t="str">
        <f t="shared" si="68"/>
        <v>OK</v>
      </c>
      <c r="AO183" s="43" t="str">
        <f t="shared" si="68"/>
        <v>OK</v>
      </c>
      <c r="AP183" s="43" t="str">
        <f t="shared" si="68"/>
        <v>OK</v>
      </c>
      <c r="AQ183" s="43" t="str">
        <f t="shared" si="68"/>
        <v>OK</v>
      </c>
      <c r="AR183" s="43" t="str">
        <f t="shared" si="68"/>
        <v>OK</v>
      </c>
      <c r="AS183" s="43" t="str">
        <f t="shared" si="68"/>
        <v>OK</v>
      </c>
      <c r="AT183" s="43" t="str">
        <f t="shared" si="68"/>
        <v>OK</v>
      </c>
      <c r="AU183" s="43" t="str">
        <f t="shared" si="68"/>
        <v>OK</v>
      </c>
      <c r="AV183" s="43" t="str">
        <f t="shared" si="68"/>
        <v>OK</v>
      </c>
      <c r="AW183" s="43" t="str">
        <f t="shared" si="68"/>
        <v>OK</v>
      </c>
      <c r="AX183" s="43" t="str">
        <f t="shared" si="68"/>
        <v>OK</v>
      </c>
      <c r="AY183" s="43" t="str">
        <f t="shared" si="68"/>
        <v>OK</v>
      </c>
      <c r="AZ183" s="43" t="str">
        <f t="shared" si="68"/>
        <v>OK</v>
      </c>
      <c r="BA183" s="44" t="str">
        <f t="shared" si="68"/>
        <v>OK</v>
      </c>
    </row>
    <row r="184" spans="1:53" s="246" customFormat="1" outlineLevel="1">
      <c r="A184" s="244"/>
      <c r="B184" s="244"/>
      <c r="C184" s="241" t="s">
        <v>113</v>
      </c>
      <c r="D184" s="121" t="s">
        <v>409</v>
      </c>
      <c r="E184" s="245" t="s">
        <v>439</v>
      </c>
      <c r="F184" s="326" t="s">
        <v>27</v>
      </c>
      <c r="G184" s="242" t="s">
        <v>27</v>
      </c>
      <c r="H184" s="242" t="s">
        <v>27</v>
      </c>
      <c r="I184" s="242" t="s">
        <v>27</v>
      </c>
      <c r="J184" s="242" t="s">
        <v>27</v>
      </c>
      <c r="K184" s="242" t="s">
        <v>27</v>
      </c>
      <c r="L184" s="242" t="s">
        <v>27</v>
      </c>
      <c r="M184" s="327" t="s">
        <v>27</v>
      </c>
      <c r="N184" s="334" t="str">
        <f t="shared" si="68"/>
        <v>OK</v>
      </c>
      <c r="O184" s="43" t="str">
        <f t="shared" si="68"/>
        <v>OK</v>
      </c>
      <c r="P184" s="43" t="str">
        <f t="shared" si="68"/>
        <v>OK</v>
      </c>
      <c r="Q184" s="43" t="str">
        <f t="shared" si="68"/>
        <v>OK</v>
      </c>
      <c r="R184" s="43" t="str">
        <f t="shared" si="68"/>
        <v>OK</v>
      </c>
      <c r="S184" s="43" t="str">
        <f t="shared" si="68"/>
        <v>OK</v>
      </c>
      <c r="T184" s="43" t="str">
        <f t="shared" si="68"/>
        <v>OK</v>
      </c>
      <c r="U184" s="43" t="str">
        <f t="shared" si="68"/>
        <v>OK</v>
      </c>
      <c r="V184" s="43" t="str">
        <f t="shared" si="68"/>
        <v>OK</v>
      </c>
      <c r="W184" s="43" t="str">
        <f t="shared" si="68"/>
        <v>OK</v>
      </c>
      <c r="X184" s="43" t="str">
        <f t="shared" si="68"/>
        <v>OK</v>
      </c>
      <c r="Y184" s="43" t="str">
        <f t="shared" si="68"/>
        <v>OK</v>
      </c>
      <c r="Z184" s="43" t="str">
        <f t="shared" si="68"/>
        <v>OK</v>
      </c>
      <c r="AA184" s="43" t="str">
        <f t="shared" si="68"/>
        <v>OK</v>
      </c>
      <c r="AB184" s="43" t="str">
        <f t="shared" si="68"/>
        <v>OK</v>
      </c>
      <c r="AC184" s="43" t="str">
        <f t="shared" si="68"/>
        <v>OK</v>
      </c>
      <c r="AD184" s="43" t="str">
        <f t="shared" si="68"/>
        <v>OK</v>
      </c>
      <c r="AE184" s="43" t="str">
        <f t="shared" si="68"/>
        <v>OK</v>
      </c>
      <c r="AF184" s="43" t="str">
        <f t="shared" si="68"/>
        <v>OK</v>
      </c>
      <c r="AG184" s="43" t="str">
        <f t="shared" si="68"/>
        <v>OK</v>
      </c>
      <c r="AH184" s="43" t="str">
        <f t="shared" si="68"/>
        <v>OK</v>
      </c>
      <c r="AI184" s="43" t="str">
        <f t="shared" si="68"/>
        <v>OK</v>
      </c>
      <c r="AJ184" s="43" t="str">
        <f t="shared" si="68"/>
        <v>OK</v>
      </c>
      <c r="AK184" s="43" t="str">
        <f t="shared" si="68"/>
        <v>OK</v>
      </c>
      <c r="AL184" s="43" t="str">
        <f t="shared" si="68"/>
        <v>OK</v>
      </c>
      <c r="AM184" s="43" t="str">
        <f t="shared" si="68"/>
        <v>OK</v>
      </c>
      <c r="AN184" s="43" t="str">
        <f t="shared" si="68"/>
        <v>OK</v>
      </c>
      <c r="AO184" s="43" t="str">
        <f t="shared" si="68"/>
        <v>OK</v>
      </c>
      <c r="AP184" s="43" t="str">
        <f t="shared" si="68"/>
        <v>OK</v>
      </c>
      <c r="AQ184" s="43" t="str">
        <f t="shared" si="68"/>
        <v>OK</v>
      </c>
      <c r="AR184" s="43" t="str">
        <f t="shared" si="68"/>
        <v>OK</v>
      </c>
      <c r="AS184" s="43" t="str">
        <f t="shared" si="68"/>
        <v>OK</v>
      </c>
      <c r="AT184" s="43" t="str">
        <f t="shared" si="68"/>
        <v>OK</v>
      </c>
      <c r="AU184" s="43" t="str">
        <f t="shared" si="68"/>
        <v>OK</v>
      </c>
      <c r="AV184" s="43" t="str">
        <f t="shared" si="68"/>
        <v>OK</v>
      </c>
      <c r="AW184" s="43" t="str">
        <f t="shared" si="68"/>
        <v>OK</v>
      </c>
      <c r="AX184" s="43" t="str">
        <f t="shared" si="68"/>
        <v>OK</v>
      </c>
      <c r="AY184" s="43" t="str">
        <f t="shared" si="68"/>
        <v>OK</v>
      </c>
      <c r="AZ184" s="43" t="str">
        <f t="shared" si="68"/>
        <v>OK</v>
      </c>
      <c r="BA184" s="44" t="str">
        <f t="shared" si="68"/>
        <v>OK</v>
      </c>
    </row>
    <row r="185" spans="1:53" s="246" customFormat="1" outlineLevel="1">
      <c r="A185" s="244"/>
      <c r="B185" s="244"/>
      <c r="C185" s="241" t="s">
        <v>116</v>
      </c>
      <c r="D185" s="121" t="s">
        <v>410</v>
      </c>
      <c r="E185" s="245" t="s">
        <v>440</v>
      </c>
      <c r="F185" s="326" t="s">
        <v>27</v>
      </c>
      <c r="G185" s="242" t="s">
        <v>27</v>
      </c>
      <c r="H185" s="242" t="s">
        <v>27</v>
      </c>
      <c r="I185" s="242" t="s">
        <v>27</v>
      </c>
      <c r="J185" s="242" t="s">
        <v>27</v>
      </c>
      <c r="K185" s="242" t="s">
        <v>27</v>
      </c>
      <c r="L185" s="242" t="s">
        <v>27</v>
      </c>
      <c r="M185" s="327" t="s">
        <v>27</v>
      </c>
      <c r="N185" s="334" t="str">
        <f t="shared" ref="N185:BA186" si="69">IF(N81&gt;=N82,"OK","BŁĄD")</f>
        <v>OK</v>
      </c>
      <c r="O185" s="43" t="str">
        <f t="shared" si="69"/>
        <v>OK</v>
      </c>
      <c r="P185" s="43" t="str">
        <f t="shared" si="69"/>
        <v>OK</v>
      </c>
      <c r="Q185" s="43" t="str">
        <f t="shared" si="69"/>
        <v>OK</v>
      </c>
      <c r="R185" s="43" t="str">
        <f t="shared" si="69"/>
        <v>OK</v>
      </c>
      <c r="S185" s="43" t="str">
        <f t="shared" si="69"/>
        <v>OK</v>
      </c>
      <c r="T185" s="43" t="str">
        <f t="shared" si="69"/>
        <v>OK</v>
      </c>
      <c r="U185" s="43" t="str">
        <f t="shared" si="69"/>
        <v>OK</v>
      </c>
      <c r="V185" s="43" t="str">
        <f t="shared" si="69"/>
        <v>OK</v>
      </c>
      <c r="W185" s="43" t="str">
        <f t="shared" si="69"/>
        <v>OK</v>
      </c>
      <c r="X185" s="43" t="str">
        <f t="shared" si="69"/>
        <v>OK</v>
      </c>
      <c r="Y185" s="43" t="str">
        <f t="shared" si="69"/>
        <v>OK</v>
      </c>
      <c r="Z185" s="43" t="str">
        <f t="shared" si="69"/>
        <v>OK</v>
      </c>
      <c r="AA185" s="43" t="str">
        <f t="shared" si="69"/>
        <v>OK</v>
      </c>
      <c r="AB185" s="43" t="str">
        <f t="shared" si="69"/>
        <v>OK</v>
      </c>
      <c r="AC185" s="43" t="str">
        <f t="shared" si="69"/>
        <v>OK</v>
      </c>
      <c r="AD185" s="43" t="str">
        <f t="shared" si="69"/>
        <v>OK</v>
      </c>
      <c r="AE185" s="43" t="str">
        <f t="shared" si="69"/>
        <v>OK</v>
      </c>
      <c r="AF185" s="43" t="str">
        <f t="shared" si="69"/>
        <v>OK</v>
      </c>
      <c r="AG185" s="43" t="str">
        <f t="shared" si="69"/>
        <v>OK</v>
      </c>
      <c r="AH185" s="43" t="str">
        <f t="shared" si="69"/>
        <v>OK</v>
      </c>
      <c r="AI185" s="43" t="str">
        <f t="shared" si="69"/>
        <v>OK</v>
      </c>
      <c r="AJ185" s="43" t="str">
        <f t="shared" si="69"/>
        <v>OK</v>
      </c>
      <c r="AK185" s="43" t="str">
        <f t="shared" si="69"/>
        <v>OK</v>
      </c>
      <c r="AL185" s="43" t="str">
        <f t="shared" si="69"/>
        <v>OK</v>
      </c>
      <c r="AM185" s="43" t="str">
        <f t="shared" si="69"/>
        <v>OK</v>
      </c>
      <c r="AN185" s="43" t="str">
        <f t="shared" si="69"/>
        <v>OK</v>
      </c>
      <c r="AO185" s="43" t="str">
        <f t="shared" si="69"/>
        <v>OK</v>
      </c>
      <c r="AP185" s="43" t="str">
        <f t="shared" si="69"/>
        <v>OK</v>
      </c>
      <c r="AQ185" s="43" t="str">
        <f t="shared" si="69"/>
        <v>OK</v>
      </c>
      <c r="AR185" s="43" t="str">
        <f t="shared" si="69"/>
        <v>OK</v>
      </c>
      <c r="AS185" s="43" t="str">
        <f t="shared" si="69"/>
        <v>OK</v>
      </c>
      <c r="AT185" s="43" t="str">
        <f t="shared" si="69"/>
        <v>OK</v>
      </c>
      <c r="AU185" s="43" t="str">
        <f t="shared" si="69"/>
        <v>OK</v>
      </c>
      <c r="AV185" s="43" t="str">
        <f t="shared" si="69"/>
        <v>OK</v>
      </c>
      <c r="AW185" s="43" t="str">
        <f t="shared" si="69"/>
        <v>OK</v>
      </c>
      <c r="AX185" s="43" t="str">
        <f t="shared" si="69"/>
        <v>OK</v>
      </c>
      <c r="AY185" s="43" t="str">
        <f t="shared" si="69"/>
        <v>OK</v>
      </c>
      <c r="AZ185" s="43" t="str">
        <f t="shared" si="69"/>
        <v>OK</v>
      </c>
      <c r="BA185" s="44" t="str">
        <f t="shared" si="69"/>
        <v>OK</v>
      </c>
    </row>
    <row r="186" spans="1:53" s="246" customFormat="1" outlineLevel="1">
      <c r="A186" s="244"/>
      <c r="B186" s="244"/>
      <c r="C186" s="241" t="s">
        <v>115</v>
      </c>
      <c r="D186" s="121" t="s">
        <v>411</v>
      </c>
      <c r="E186" s="245" t="s">
        <v>441</v>
      </c>
      <c r="F186" s="326" t="s">
        <v>27</v>
      </c>
      <c r="G186" s="242" t="s">
        <v>27</v>
      </c>
      <c r="H186" s="242" t="s">
        <v>27</v>
      </c>
      <c r="I186" s="242" t="s">
        <v>27</v>
      </c>
      <c r="J186" s="242" t="s">
        <v>27</v>
      </c>
      <c r="K186" s="242" t="s">
        <v>27</v>
      </c>
      <c r="L186" s="242" t="s">
        <v>27</v>
      </c>
      <c r="M186" s="327" t="s">
        <v>27</v>
      </c>
      <c r="N186" s="334" t="str">
        <f t="shared" si="69"/>
        <v>OK</v>
      </c>
      <c r="O186" s="43" t="str">
        <f t="shared" si="69"/>
        <v>OK</v>
      </c>
      <c r="P186" s="43" t="str">
        <f t="shared" si="69"/>
        <v>OK</v>
      </c>
      <c r="Q186" s="43" t="str">
        <f t="shared" si="69"/>
        <v>OK</v>
      </c>
      <c r="R186" s="43" t="str">
        <f t="shared" si="69"/>
        <v>OK</v>
      </c>
      <c r="S186" s="43" t="str">
        <f t="shared" si="69"/>
        <v>OK</v>
      </c>
      <c r="T186" s="43" t="str">
        <f t="shared" si="69"/>
        <v>OK</v>
      </c>
      <c r="U186" s="43" t="str">
        <f t="shared" si="69"/>
        <v>OK</v>
      </c>
      <c r="V186" s="43" t="str">
        <f t="shared" si="69"/>
        <v>OK</v>
      </c>
      <c r="W186" s="43" t="str">
        <f t="shared" si="69"/>
        <v>OK</v>
      </c>
      <c r="X186" s="43" t="str">
        <f t="shared" si="69"/>
        <v>OK</v>
      </c>
      <c r="Y186" s="43" t="str">
        <f t="shared" si="69"/>
        <v>OK</v>
      </c>
      <c r="Z186" s="43" t="str">
        <f t="shared" si="69"/>
        <v>OK</v>
      </c>
      <c r="AA186" s="43" t="str">
        <f t="shared" si="69"/>
        <v>OK</v>
      </c>
      <c r="AB186" s="43" t="str">
        <f t="shared" si="69"/>
        <v>OK</v>
      </c>
      <c r="AC186" s="43" t="str">
        <f t="shared" si="69"/>
        <v>OK</v>
      </c>
      <c r="AD186" s="43" t="str">
        <f t="shared" si="69"/>
        <v>OK</v>
      </c>
      <c r="AE186" s="43" t="str">
        <f t="shared" si="69"/>
        <v>OK</v>
      </c>
      <c r="AF186" s="43" t="str">
        <f t="shared" si="69"/>
        <v>OK</v>
      </c>
      <c r="AG186" s="43" t="str">
        <f t="shared" si="69"/>
        <v>OK</v>
      </c>
      <c r="AH186" s="43" t="str">
        <f t="shared" si="69"/>
        <v>OK</v>
      </c>
      <c r="AI186" s="43" t="str">
        <f t="shared" si="69"/>
        <v>OK</v>
      </c>
      <c r="AJ186" s="43" t="str">
        <f t="shared" si="69"/>
        <v>OK</v>
      </c>
      <c r="AK186" s="43" t="str">
        <f t="shared" si="69"/>
        <v>OK</v>
      </c>
      <c r="AL186" s="43" t="str">
        <f t="shared" si="69"/>
        <v>OK</v>
      </c>
      <c r="AM186" s="43" t="str">
        <f t="shared" si="69"/>
        <v>OK</v>
      </c>
      <c r="AN186" s="43" t="str">
        <f t="shared" si="69"/>
        <v>OK</v>
      </c>
      <c r="AO186" s="43" t="str">
        <f t="shared" si="69"/>
        <v>OK</v>
      </c>
      <c r="AP186" s="43" t="str">
        <f t="shared" si="69"/>
        <v>OK</v>
      </c>
      <c r="AQ186" s="43" t="str">
        <f t="shared" si="69"/>
        <v>OK</v>
      </c>
      <c r="AR186" s="43" t="str">
        <f t="shared" si="69"/>
        <v>OK</v>
      </c>
      <c r="AS186" s="43" t="str">
        <f t="shared" si="69"/>
        <v>OK</v>
      </c>
      <c r="AT186" s="43" t="str">
        <f t="shared" si="69"/>
        <v>OK</v>
      </c>
      <c r="AU186" s="43" t="str">
        <f t="shared" si="69"/>
        <v>OK</v>
      </c>
      <c r="AV186" s="43" t="str">
        <f t="shared" si="69"/>
        <v>OK</v>
      </c>
      <c r="AW186" s="43" t="str">
        <f t="shared" si="69"/>
        <v>OK</v>
      </c>
      <c r="AX186" s="43" t="str">
        <f t="shared" si="69"/>
        <v>OK</v>
      </c>
      <c r="AY186" s="43" t="str">
        <f t="shared" si="69"/>
        <v>OK</v>
      </c>
      <c r="AZ186" s="43" t="str">
        <f t="shared" si="69"/>
        <v>OK</v>
      </c>
      <c r="BA186" s="44" t="str">
        <f t="shared" si="69"/>
        <v>OK</v>
      </c>
    </row>
    <row r="187" spans="1:53" s="246" customFormat="1" outlineLevel="1">
      <c r="A187" s="244"/>
      <c r="B187" s="244"/>
      <c r="C187" s="241" t="s">
        <v>117</v>
      </c>
      <c r="D187" s="121" t="s">
        <v>412</v>
      </c>
      <c r="E187" s="245" t="s">
        <v>442</v>
      </c>
      <c r="F187" s="326" t="s">
        <v>27</v>
      </c>
      <c r="G187" s="242" t="s">
        <v>27</v>
      </c>
      <c r="H187" s="242" t="s">
        <v>27</v>
      </c>
      <c r="I187" s="242" t="s">
        <v>27</v>
      </c>
      <c r="J187" s="242" t="s">
        <v>27</v>
      </c>
      <c r="K187" s="242" t="s">
        <v>27</v>
      </c>
      <c r="L187" s="242" t="s">
        <v>27</v>
      </c>
      <c r="M187" s="327" t="s">
        <v>27</v>
      </c>
      <c r="N187" s="334" t="str">
        <f t="shared" ref="N187:BA188" si="70">IF(N84&gt;=N85,"OK","BŁĄD")</f>
        <v>OK</v>
      </c>
      <c r="O187" s="43" t="str">
        <f t="shared" si="70"/>
        <v>OK</v>
      </c>
      <c r="P187" s="43" t="str">
        <f t="shared" si="70"/>
        <v>OK</v>
      </c>
      <c r="Q187" s="43" t="str">
        <f t="shared" si="70"/>
        <v>OK</v>
      </c>
      <c r="R187" s="43" t="str">
        <f t="shared" si="70"/>
        <v>OK</v>
      </c>
      <c r="S187" s="43" t="str">
        <f t="shared" si="70"/>
        <v>OK</v>
      </c>
      <c r="T187" s="43" t="str">
        <f t="shared" si="70"/>
        <v>OK</v>
      </c>
      <c r="U187" s="43" t="str">
        <f t="shared" si="70"/>
        <v>OK</v>
      </c>
      <c r="V187" s="43" t="str">
        <f t="shared" si="70"/>
        <v>OK</v>
      </c>
      <c r="W187" s="43" t="str">
        <f t="shared" si="70"/>
        <v>OK</v>
      </c>
      <c r="X187" s="43" t="str">
        <f t="shared" si="70"/>
        <v>OK</v>
      </c>
      <c r="Y187" s="43" t="str">
        <f t="shared" si="70"/>
        <v>OK</v>
      </c>
      <c r="Z187" s="43" t="str">
        <f t="shared" si="70"/>
        <v>OK</v>
      </c>
      <c r="AA187" s="43" t="str">
        <f t="shared" si="70"/>
        <v>OK</v>
      </c>
      <c r="AB187" s="43" t="str">
        <f t="shared" si="70"/>
        <v>OK</v>
      </c>
      <c r="AC187" s="43" t="str">
        <f t="shared" si="70"/>
        <v>OK</v>
      </c>
      <c r="AD187" s="43" t="str">
        <f t="shared" si="70"/>
        <v>OK</v>
      </c>
      <c r="AE187" s="43" t="str">
        <f t="shared" si="70"/>
        <v>OK</v>
      </c>
      <c r="AF187" s="43" t="str">
        <f t="shared" si="70"/>
        <v>OK</v>
      </c>
      <c r="AG187" s="43" t="str">
        <f t="shared" si="70"/>
        <v>OK</v>
      </c>
      <c r="AH187" s="43" t="str">
        <f t="shared" si="70"/>
        <v>OK</v>
      </c>
      <c r="AI187" s="43" t="str">
        <f t="shared" si="70"/>
        <v>OK</v>
      </c>
      <c r="AJ187" s="43" t="str">
        <f t="shared" si="70"/>
        <v>OK</v>
      </c>
      <c r="AK187" s="43" t="str">
        <f t="shared" si="70"/>
        <v>OK</v>
      </c>
      <c r="AL187" s="43" t="str">
        <f t="shared" si="70"/>
        <v>OK</v>
      </c>
      <c r="AM187" s="43" t="str">
        <f t="shared" si="70"/>
        <v>OK</v>
      </c>
      <c r="AN187" s="43" t="str">
        <f t="shared" si="70"/>
        <v>OK</v>
      </c>
      <c r="AO187" s="43" t="str">
        <f t="shared" si="70"/>
        <v>OK</v>
      </c>
      <c r="AP187" s="43" t="str">
        <f t="shared" si="70"/>
        <v>OK</v>
      </c>
      <c r="AQ187" s="43" t="str">
        <f t="shared" si="70"/>
        <v>OK</v>
      </c>
      <c r="AR187" s="43" t="str">
        <f t="shared" si="70"/>
        <v>OK</v>
      </c>
      <c r="AS187" s="43" t="str">
        <f t="shared" si="70"/>
        <v>OK</v>
      </c>
      <c r="AT187" s="43" t="str">
        <f t="shared" si="70"/>
        <v>OK</v>
      </c>
      <c r="AU187" s="43" t="str">
        <f t="shared" si="70"/>
        <v>OK</v>
      </c>
      <c r="AV187" s="43" t="str">
        <f t="shared" si="70"/>
        <v>OK</v>
      </c>
      <c r="AW187" s="43" t="str">
        <f t="shared" si="70"/>
        <v>OK</v>
      </c>
      <c r="AX187" s="43" t="str">
        <f t="shared" si="70"/>
        <v>OK</v>
      </c>
      <c r="AY187" s="43" t="str">
        <f t="shared" si="70"/>
        <v>OK</v>
      </c>
      <c r="AZ187" s="43" t="str">
        <f t="shared" si="70"/>
        <v>OK</v>
      </c>
      <c r="BA187" s="44" t="str">
        <f t="shared" si="70"/>
        <v>OK</v>
      </c>
    </row>
    <row r="188" spans="1:53" s="246" customFormat="1" outlineLevel="1">
      <c r="A188" s="244"/>
      <c r="B188" s="244"/>
      <c r="C188" s="241" t="s">
        <v>118</v>
      </c>
      <c r="D188" s="121" t="s">
        <v>413</v>
      </c>
      <c r="E188" s="245" t="s">
        <v>443</v>
      </c>
      <c r="F188" s="326" t="s">
        <v>27</v>
      </c>
      <c r="G188" s="242" t="s">
        <v>27</v>
      </c>
      <c r="H188" s="242" t="s">
        <v>27</v>
      </c>
      <c r="I188" s="242" t="s">
        <v>27</v>
      </c>
      <c r="J188" s="242" t="s">
        <v>27</v>
      </c>
      <c r="K188" s="242" t="s">
        <v>27</v>
      </c>
      <c r="L188" s="242" t="s">
        <v>27</v>
      </c>
      <c r="M188" s="327" t="s">
        <v>27</v>
      </c>
      <c r="N188" s="334" t="str">
        <f t="shared" si="70"/>
        <v>OK</v>
      </c>
      <c r="O188" s="43" t="str">
        <f t="shared" si="70"/>
        <v>OK</v>
      </c>
      <c r="P188" s="43" t="str">
        <f t="shared" si="70"/>
        <v>OK</v>
      </c>
      <c r="Q188" s="43" t="str">
        <f t="shared" si="70"/>
        <v>OK</v>
      </c>
      <c r="R188" s="43" t="str">
        <f t="shared" si="70"/>
        <v>OK</v>
      </c>
      <c r="S188" s="43" t="str">
        <f t="shared" si="70"/>
        <v>OK</v>
      </c>
      <c r="T188" s="43" t="str">
        <f t="shared" si="70"/>
        <v>OK</v>
      </c>
      <c r="U188" s="43" t="str">
        <f t="shared" si="70"/>
        <v>OK</v>
      </c>
      <c r="V188" s="43" t="str">
        <f t="shared" si="70"/>
        <v>OK</v>
      </c>
      <c r="W188" s="43" t="str">
        <f t="shared" si="70"/>
        <v>OK</v>
      </c>
      <c r="X188" s="43" t="str">
        <f t="shared" si="70"/>
        <v>OK</v>
      </c>
      <c r="Y188" s="43" t="str">
        <f t="shared" si="70"/>
        <v>OK</v>
      </c>
      <c r="Z188" s="43" t="str">
        <f t="shared" si="70"/>
        <v>OK</v>
      </c>
      <c r="AA188" s="43" t="str">
        <f t="shared" si="70"/>
        <v>OK</v>
      </c>
      <c r="AB188" s="43" t="str">
        <f t="shared" si="70"/>
        <v>OK</v>
      </c>
      <c r="AC188" s="43" t="str">
        <f t="shared" si="70"/>
        <v>OK</v>
      </c>
      <c r="AD188" s="43" t="str">
        <f t="shared" si="70"/>
        <v>OK</v>
      </c>
      <c r="AE188" s="43" t="str">
        <f t="shared" si="70"/>
        <v>OK</v>
      </c>
      <c r="AF188" s="43" t="str">
        <f t="shared" si="70"/>
        <v>OK</v>
      </c>
      <c r="AG188" s="43" t="str">
        <f t="shared" si="70"/>
        <v>OK</v>
      </c>
      <c r="AH188" s="43" t="str">
        <f t="shared" si="70"/>
        <v>OK</v>
      </c>
      <c r="AI188" s="43" t="str">
        <f t="shared" si="70"/>
        <v>OK</v>
      </c>
      <c r="AJ188" s="43" t="str">
        <f t="shared" si="70"/>
        <v>OK</v>
      </c>
      <c r="AK188" s="43" t="str">
        <f t="shared" si="70"/>
        <v>OK</v>
      </c>
      <c r="AL188" s="43" t="str">
        <f t="shared" si="70"/>
        <v>OK</v>
      </c>
      <c r="AM188" s="43" t="str">
        <f t="shared" si="70"/>
        <v>OK</v>
      </c>
      <c r="AN188" s="43" t="str">
        <f t="shared" si="70"/>
        <v>OK</v>
      </c>
      <c r="AO188" s="43" t="str">
        <f t="shared" si="70"/>
        <v>OK</v>
      </c>
      <c r="AP188" s="43" t="str">
        <f t="shared" si="70"/>
        <v>OK</v>
      </c>
      <c r="AQ188" s="43" t="str">
        <f t="shared" si="70"/>
        <v>OK</v>
      </c>
      <c r="AR188" s="43" t="str">
        <f t="shared" si="70"/>
        <v>OK</v>
      </c>
      <c r="AS188" s="43" t="str">
        <f t="shared" si="70"/>
        <v>OK</v>
      </c>
      <c r="AT188" s="43" t="str">
        <f t="shared" si="70"/>
        <v>OK</v>
      </c>
      <c r="AU188" s="43" t="str">
        <f t="shared" si="70"/>
        <v>OK</v>
      </c>
      <c r="AV188" s="43" t="str">
        <f t="shared" si="70"/>
        <v>OK</v>
      </c>
      <c r="AW188" s="43" t="str">
        <f t="shared" si="70"/>
        <v>OK</v>
      </c>
      <c r="AX188" s="43" t="str">
        <f t="shared" si="70"/>
        <v>OK</v>
      </c>
      <c r="AY188" s="43" t="str">
        <f t="shared" si="70"/>
        <v>OK</v>
      </c>
      <c r="AZ188" s="43" t="str">
        <f t="shared" si="70"/>
        <v>OK</v>
      </c>
      <c r="BA188" s="44" t="str">
        <f t="shared" si="70"/>
        <v>OK</v>
      </c>
    </row>
    <row r="189" spans="1:53" s="246" customFormat="1" outlineLevel="1">
      <c r="A189" s="244"/>
      <c r="B189" s="244"/>
      <c r="C189" s="241" t="s">
        <v>119</v>
      </c>
      <c r="D189" s="121" t="s">
        <v>414</v>
      </c>
      <c r="E189" s="245" t="s">
        <v>444</v>
      </c>
      <c r="F189" s="326" t="s">
        <v>27</v>
      </c>
      <c r="G189" s="242" t="s">
        <v>27</v>
      </c>
      <c r="H189" s="242" t="s">
        <v>27</v>
      </c>
      <c r="I189" s="242" t="s">
        <v>27</v>
      </c>
      <c r="J189" s="242" t="s">
        <v>27</v>
      </c>
      <c r="K189" s="242" t="s">
        <v>27</v>
      </c>
      <c r="L189" s="242" t="s">
        <v>27</v>
      </c>
      <c r="M189" s="327" t="s">
        <v>27</v>
      </c>
      <c r="N189" s="334" t="str">
        <f t="shared" ref="N189:BA190" si="71">IF(N87&gt;=N88,"OK","BŁĄD")</f>
        <v>OK</v>
      </c>
      <c r="O189" s="43" t="str">
        <f t="shared" si="71"/>
        <v>OK</v>
      </c>
      <c r="P189" s="43" t="str">
        <f t="shared" si="71"/>
        <v>OK</v>
      </c>
      <c r="Q189" s="43" t="str">
        <f t="shared" si="71"/>
        <v>OK</v>
      </c>
      <c r="R189" s="43" t="str">
        <f t="shared" si="71"/>
        <v>OK</v>
      </c>
      <c r="S189" s="43" t="str">
        <f t="shared" si="71"/>
        <v>OK</v>
      </c>
      <c r="T189" s="43" t="str">
        <f t="shared" si="71"/>
        <v>OK</v>
      </c>
      <c r="U189" s="43" t="str">
        <f t="shared" si="71"/>
        <v>OK</v>
      </c>
      <c r="V189" s="43" t="str">
        <f t="shared" si="71"/>
        <v>OK</v>
      </c>
      <c r="W189" s="43" t="str">
        <f t="shared" si="71"/>
        <v>OK</v>
      </c>
      <c r="X189" s="43" t="str">
        <f t="shared" si="71"/>
        <v>OK</v>
      </c>
      <c r="Y189" s="43" t="str">
        <f t="shared" si="71"/>
        <v>OK</v>
      </c>
      <c r="Z189" s="43" t="str">
        <f t="shared" si="71"/>
        <v>OK</v>
      </c>
      <c r="AA189" s="43" t="str">
        <f t="shared" si="71"/>
        <v>OK</v>
      </c>
      <c r="AB189" s="43" t="str">
        <f t="shared" si="71"/>
        <v>OK</v>
      </c>
      <c r="AC189" s="43" t="str">
        <f t="shared" si="71"/>
        <v>OK</v>
      </c>
      <c r="AD189" s="43" t="str">
        <f t="shared" si="71"/>
        <v>OK</v>
      </c>
      <c r="AE189" s="43" t="str">
        <f t="shared" si="71"/>
        <v>OK</v>
      </c>
      <c r="AF189" s="43" t="str">
        <f t="shared" si="71"/>
        <v>OK</v>
      </c>
      <c r="AG189" s="43" t="str">
        <f t="shared" si="71"/>
        <v>OK</v>
      </c>
      <c r="AH189" s="43" t="str">
        <f t="shared" si="71"/>
        <v>OK</v>
      </c>
      <c r="AI189" s="43" t="str">
        <f t="shared" si="71"/>
        <v>OK</v>
      </c>
      <c r="AJ189" s="43" t="str">
        <f t="shared" si="71"/>
        <v>OK</v>
      </c>
      <c r="AK189" s="43" t="str">
        <f t="shared" si="71"/>
        <v>OK</v>
      </c>
      <c r="AL189" s="43" t="str">
        <f t="shared" si="71"/>
        <v>OK</v>
      </c>
      <c r="AM189" s="43" t="str">
        <f t="shared" si="71"/>
        <v>OK</v>
      </c>
      <c r="AN189" s="43" t="str">
        <f t="shared" si="71"/>
        <v>OK</v>
      </c>
      <c r="AO189" s="43" t="str">
        <f t="shared" si="71"/>
        <v>OK</v>
      </c>
      <c r="AP189" s="43" t="str">
        <f t="shared" si="71"/>
        <v>OK</v>
      </c>
      <c r="AQ189" s="43" t="str">
        <f t="shared" si="71"/>
        <v>OK</v>
      </c>
      <c r="AR189" s="43" t="str">
        <f t="shared" si="71"/>
        <v>OK</v>
      </c>
      <c r="AS189" s="43" t="str">
        <f t="shared" si="71"/>
        <v>OK</v>
      </c>
      <c r="AT189" s="43" t="str">
        <f t="shared" si="71"/>
        <v>OK</v>
      </c>
      <c r="AU189" s="43" t="str">
        <f t="shared" si="71"/>
        <v>OK</v>
      </c>
      <c r="AV189" s="43" t="str">
        <f t="shared" si="71"/>
        <v>OK</v>
      </c>
      <c r="AW189" s="43" t="str">
        <f t="shared" si="71"/>
        <v>OK</v>
      </c>
      <c r="AX189" s="43" t="str">
        <f t="shared" si="71"/>
        <v>OK</v>
      </c>
      <c r="AY189" s="43" t="str">
        <f t="shared" si="71"/>
        <v>OK</v>
      </c>
      <c r="AZ189" s="43" t="str">
        <f t="shared" si="71"/>
        <v>OK</v>
      </c>
      <c r="BA189" s="44" t="str">
        <f t="shared" si="71"/>
        <v>OK</v>
      </c>
    </row>
    <row r="190" spans="1:53" s="246" customFormat="1" outlineLevel="1">
      <c r="A190" s="244"/>
      <c r="B190" s="244"/>
      <c r="C190" s="241" t="s">
        <v>120</v>
      </c>
      <c r="D190" s="121" t="s">
        <v>415</v>
      </c>
      <c r="E190" s="245" t="s">
        <v>445</v>
      </c>
      <c r="F190" s="326" t="s">
        <v>27</v>
      </c>
      <c r="G190" s="242" t="s">
        <v>27</v>
      </c>
      <c r="H190" s="242" t="s">
        <v>27</v>
      </c>
      <c r="I190" s="242" t="s">
        <v>27</v>
      </c>
      <c r="J190" s="242" t="s">
        <v>27</v>
      </c>
      <c r="K190" s="242" t="s">
        <v>27</v>
      </c>
      <c r="L190" s="242" t="s">
        <v>27</v>
      </c>
      <c r="M190" s="327" t="s">
        <v>27</v>
      </c>
      <c r="N190" s="334" t="str">
        <f t="shared" si="71"/>
        <v>OK</v>
      </c>
      <c r="O190" s="43" t="str">
        <f t="shared" si="71"/>
        <v>OK</v>
      </c>
      <c r="P190" s="43" t="str">
        <f t="shared" si="71"/>
        <v>OK</v>
      </c>
      <c r="Q190" s="43" t="str">
        <f t="shared" si="71"/>
        <v>OK</v>
      </c>
      <c r="R190" s="43" t="str">
        <f t="shared" si="71"/>
        <v>OK</v>
      </c>
      <c r="S190" s="43" t="str">
        <f t="shared" si="71"/>
        <v>OK</v>
      </c>
      <c r="T190" s="43" t="str">
        <f t="shared" si="71"/>
        <v>OK</v>
      </c>
      <c r="U190" s="43" t="str">
        <f t="shared" si="71"/>
        <v>OK</v>
      </c>
      <c r="V190" s="43" t="str">
        <f t="shared" si="71"/>
        <v>OK</v>
      </c>
      <c r="W190" s="43" t="str">
        <f t="shared" si="71"/>
        <v>OK</v>
      </c>
      <c r="X190" s="43" t="str">
        <f t="shared" si="71"/>
        <v>OK</v>
      </c>
      <c r="Y190" s="43" t="str">
        <f t="shared" si="71"/>
        <v>OK</v>
      </c>
      <c r="Z190" s="43" t="str">
        <f t="shared" si="71"/>
        <v>OK</v>
      </c>
      <c r="AA190" s="43" t="str">
        <f t="shared" si="71"/>
        <v>OK</v>
      </c>
      <c r="AB190" s="43" t="str">
        <f t="shared" si="71"/>
        <v>OK</v>
      </c>
      <c r="AC190" s="43" t="str">
        <f t="shared" si="71"/>
        <v>OK</v>
      </c>
      <c r="AD190" s="43" t="str">
        <f t="shared" si="71"/>
        <v>OK</v>
      </c>
      <c r="AE190" s="43" t="str">
        <f t="shared" si="71"/>
        <v>OK</v>
      </c>
      <c r="AF190" s="43" t="str">
        <f t="shared" si="71"/>
        <v>OK</v>
      </c>
      <c r="AG190" s="43" t="str">
        <f t="shared" si="71"/>
        <v>OK</v>
      </c>
      <c r="AH190" s="43" t="str">
        <f t="shared" si="71"/>
        <v>OK</v>
      </c>
      <c r="AI190" s="43" t="str">
        <f t="shared" si="71"/>
        <v>OK</v>
      </c>
      <c r="AJ190" s="43" t="str">
        <f t="shared" si="71"/>
        <v>OK</v>
      </c>
      <c r="AK190" s="43" t="str">
        <f t="shared" si="71"/>
        <v>OK</v>
      </c>
      <c r="AL190" s="43" t="str">
        <f t="shared" si="71"/>
        <v>OK</v>
      </c>
      <c r="AM190" s="43" t="str">
        <f t="shared" si="71"/>
        <v>OK</v>
      </c>
      <c r="AN190" s="43" t="str">
        <f t="shared" si="71"/>
        <v>OK</v>
      </c>
      <c r="AO190" s="43" t="str">
        <f t="shared" si="71"/>
        <v>OK</v>
      </c>
      <c r="AP190" s="43" t="str">
        <f t="shared" si="71"/>
        <v>OK</v>
      </c>
      <c r="AQ190" s="43" t="str">
        <f t="shared" si="71"/>
        <v>OK</v>
      </c>
      <c r="AR190" s="43" t="str">
        <f t="shared" si="71"/>
        <v>OK</v>
      </c>
      <c r="AS190" s="43" t="str">
        <f t="shared" si="71"/>
        <v>OK</v>
      </c>
      <c r="AT190" s="43" t="str">
        <f t="shared" si="71"/>
        <v>OK</v>
      </c>
      <c r="AU190" s="43" t="str">
        <f t="shared" si="71"/>
        <v>OK</v>
      </c>
      <c r="AV190" s="43" t="str">
        <f t="shared" si="71"/>
        <v>OK</v>
      </c>
      <c r="AW190" s="43" t="str">
        <f t="shared" si="71"/>
        <v>OK</v>
      </c>
      <c r="AX190" s="43" t="str">
        <f t="shared" si="71"/>
        <v>OK</v>
      </c>
      <c r="AY190" s="43" t="str">
        <f t="shared" si="71"/>
        <v>OK</v>
      </c>
      <c r="AZ190" s="43" t="str">
        <f t="shared" si="71"/>
        <v>OK</v>
      </c>
      <c r="BA190" s="44" t="str">
        <f t="shared" si="71"/>
        <v>OK</v>
      </c>
    </row>
    <row r="191" spans="1:53" s="246" customFormat="1" outlineLevel="1">
      <c r="A191" s="244"/>
      <c r="B191" s="244"/>
      <c r="C191" s="241" t="s">
        <v>119</v>
      </c>
      <c r="D191" s="121" t="s">
        <v>598</v>
      </c>
      <c r="E191" s="245" t="s">
        <v>599</v>
      </c>
      <c r="F191" s="326" t="s">
        <v>27</v>
      </c>
      <c r="G191" s="242" t="s">
        <v>27</v>
      </c>
      <c r="H191" s="242" t="s">
        <v>27</v>
      </c>
      <c r="I191" s="242" t="s">
        <v>27</v>
      </c>
      <c r="J191" s="242" t="s">
        <v>27</v>
      </c>
      <c r="K191" s="242" t="s">
        <v>27</v>
      </c>
      <c r="L191" s="242" t="s">
        <v>27</v>
      </c>
      <c r="M191" s="327" t="s">
        <v>27</v>
      </c>
      <c r="N191" s="334" t="str">
        <f t="shared" ref="N191:BA191" si="72">IF(ROUND(N91-(N92+N93),2)=0,"OK","BŁĄD")</f>
        <v>OK</v>
      </c>
      <c r="O191" s="43" t="str">
        <f t="shared" si="72"/>
        <v>OK</v>
      </c>
      <c r="P191" s="43" t="str">
        <f t="shared" si="72"/>
        <v>OK</v>
      </c>
      <c r="Q191" s="43" t="str">
        <f t="shared" si="72"/>
        <v>OK</v>
      </c>
      <c r="R191" s="43" t="str">
        <f t="shared" si="72"/>
        <v>OK</v>
      </c>
      <c r="S191" s="43" t="str">
        <f t="shared" si="72"/>
        <v>OK</v>
      </c>
      <c r="T191" s="43" t="str">
        <f t="shared" si="72"/>
        <v>OK</v>
      </c>
      <c r="U191" s="43" t="str">
        <f t="shared" si="72"/>
        <v>OK</v>
      </c>
      <c r="V191" s="43" t="str">
        <f t="shared" si="72"/>
        <v>OK</v>
      </c>
      <c r="W191" s="43" t="str">
        <f t="shared" si="72"/>
        <v>OK</v>
      </c>
      <c r="X191" s="43" t="str">
        <f t="shared" si="72"/>
        <v>OK</v>
      </c>
      <c r="Y191" s="43" t="str">
        <f t="shared" si="72"/>
        <v>OK</v>
      </c>
      <c r="Z191" s="43" t="str">
        <f t="shared" si="72"/>
        <v>OK</v>
      </c>
      <c r="AA191" s="43" t="str">
        <f t="shared" si="72"/>
        <v>OK</v>
      </c>
      <c r="AB191" s="43" t="str">
        <f t="shared" si="72"/>
        <v>OK</v>
      </c>
      <c r="AC191" s="43" t="str">
        <f t="shared" si="72"/>
        <v>OK</v>
      </c>
      <c r="AD191" s="43" t="str">
        <f t="shared" si="72"/>
        <v>OK</v>
      </c>
      <c r="AE191" s="43" t="str">
        <f t="shared" si="72"/>
        <v>OK</v>
      </c>
      <c r="AF191" s="43" t="str">
        <f t="shared" si="72"/>
        <v>OK</v>
      </c>
      <c r="AG191" s="43" t="str">
        <f t="shared" si="72"/>
        <v>OK</v>
      </c>
      <c r="AH191" s="43" t="str">
        <f t="shared" si="72"/>
        <v>OK</v>
      </c>
      <c r="AI191" s="43" t="str">
        <f t="shared" si="72"/>
        <v>OK</v>
      </c>
      <c r="AJ191" s="43" t="str">
        <f t="shared" si="72"/>
        <v>OK</v>
      </c>
      <c r="AK191" s="43" t="str">
        <f t="shared" si="72"/>
        <v>OK</v>
      </c>
      <c r="AL191" s="43" t="str">
        <f t="shared" si="72"/>
        <v>OK</v>
      </c>
      <c r="AM191" s="43" t="str">
        <f t="shared" si="72"/>
        <v>OK</v>
      </c>
      <c r="AN191" s="43" t="str">
        <f t="shared" si="72"/>
        <v>OK</v>
      </c>
      <c r="AO191" s="43" t="str">
        <f t="shared" si="72"/>
        <v>OK</v>
      </c>
      <c r="AP191" s="43" t="str">
        <f t="shared" si="72"/>
        <v>OK</v>
      </c>
      <c r="AQ191" s="43" t="str">
        <f t="shared" si="72"/>
        <v>OK</v>
      </c>
      <c r="AR191" s="43" t="str">
        <f t="shared" si="72"/>
        <v>OK</v>
      </c>
      <c r="AS191" s="43" t="str">
        <f t="shared" si="72"/>
        <v>OK</v>
      </c>
      <c r="AT191" s="43" t="str">
        <f t="shared" si="72"/>
        <v>OK</v>
      </c>
      <c r="AU191" s="43" t="str">
        <f t="shared" si="72"/>
        <v>OK</v>
      </c>
      <c r="AV191" s="43" t="str">
        <f t="shared" si="72"/>
        <v>OK</v>
      </c>
      <c r="AW191" s="43" t="str">
        <f t="shared" si="72"/>
        <v>OK</v>
      </c>
      <c r="AX191" s="43" t="str">
        <f t="shared" si="72"/>
        <v>OK</v>
      </c>
      <c r="AY191" s="43" t="str">
        <f t="shared" si="72"/>
        <v>OK</v>
      </c>
      <c r="AZ191" s="43" t="str">
        <f t="shared" si="72"/>
        <v>OK</v>
      </c>
      <c r="BA191" s="44" t="str">
        <f t="shared" si="72"/>
        <v>OK</v>
      </c>
    </row>
    <row r="192" spans="1:53" s="246" customFormat="1" outlineLevel="1">
      <c r="A192" s="244"/>
      <c r="B192" s="244"/>
      <c r="C192" s="337"/>
      <c r="D192" s="338"/>
      <c r="E192" s="245" t="s">
        <v>600</v>
      </c>
      <c r="F192" s="326" t="s">
        <v>27</v>
      </c>
      <c r="G192" s="242" t="s">
        <v>27</v>
      </c>
      <c r="H192" s="242" t="s">
        <v>27</v>
      </c>
      <c r="I192" s="242" t="s">
        <v>27</v>
      </c>
      <c r="J192" s="242" t="s">
        <v>27</v>
      </c>
      <c r="K192" s="242" t="s">
        <v>27</v>
      </c>
      <c r="L192" s="242" t="s">
        <v>27</v>
      </c>
      <c r="M192" s="327" t="s">
        <v>27</v>
      </c>
      <c r="N192" s="334" t="str">
        <f>IF(COUNTIF($N$110:$BA$112,"&lt;&gt;0")&gt;0,"nd",IF(ROUND(N107-(N29+N55),2)=0,"OK","BŁĄD"))</f>
        <v>OK</v>
      </c>
      <c r="O192" s="43" t="str">
        <f t="shared" ref="O192:BA192" si="73">IF(COUNTIF($N$110:$BA$112,"&lt;&gt;0")&gt;0,"nd",IF(ROUND(O107-(O29+O55),2)=0,"OK","BŁĄD"))</f>
        <v>OK</v>
      </c>
      <c r="P192" s="43" t="str">
        <f t="shared" si="73"/>
        <v>OK</v>
      </c>
      <c r="Q192" s="43" t="str">
        <f t="shared" si="73"/>
        <v>OK</v>
      </c>
      <c r="R192" s="43" t="str">
        <f t="shared" si="73"/>
        <v>OK</v>
      </c>
      <c r="S192" s="43" t="str">
        <f t="shared" si="73"/>
        <v>OK</v>
      </c>
      <c r="T192" s="43" t="str">
        <f t="shared" si="73"/>
        <v>OK</v>
      </c>
      <c r="U192" s="43" t="str">
        <f t="shared" si="73"/>
        <v>OK</v>
      </c>
      <c r="V192" s="43" t="str">
        <f t="shared" si="73"/>
        <v>OK</v>
      </c>
      <c r="W192" s="43" t="str">
        <f t="shared" si="73"/>
        <v>OK</v>
      </c>
      <c r="X192" s="43" t="str">
        <f t="shared" si="73"/>
        <v>OK</v>
      </c>
      <c r="Y192" s="43" t="str">
        <f t="shared" si="73"/>
        <v>OK</v>
      </c>
      <c r="Z192" s="43" t="str">
        <f t="shared" si="73"/>
        <v>OK</v>
      </c>
      <c r="AA192" s="43" t="str">
        <f t="shared" si="73"/>
        <v>OK</v>
      </c>
      <c r="AB192" s="43" t="str">
        <f t="shared" si="73"/>
        <v>OK</v>
      </c>
      <c r="AC192" s="43" t="str">
        <f t="shared" si="73"/>
        <v>OK</v>
      </c>
      <c r="AD192" s="43" t="str">
        <f t="shared" si="73"/>
        <v>OK</v>
      </c>
      <c r="AE192" s="43" t="str">
        <f t="shared" si="73"/>
        <v>OK</v>
      </c>
      <c r="AF192" s="43" t="str">
        <f t="shared" si="73"/>
        <v>OK</v>
      </c>
      <c r="AG192" s="43" t="str">
        <f t="shared" si="73"/>
        <v>OK</v>
      </c>
      <c r="AH192" s="43" t="str">
        <f t="shared" si="73"/>
        <v>OK</v>
      </c>
      <c r="AI192" s="43" t="str">
        <f t="shared" si="73"/>
        <v>OK</v>
      </c>
      <c r="AJ192" s="43" t="str">
        <f t="shared" si="73"/>
        <v>OK</v>
      </c>
      <c r="AK192" s="43" t="str">
        <f t="shared" si="73"/>
        <v>OK</v>
      </c>
      <c r="AL192" s="43" t="str">
        <f t="shared" si="73"/>
        <v>OK</v>
      </c>
      <c r="AM192" s="43" t="str">
        <f t="shared" si="73"/>
        <v>OK</v>
      </c>
      <c r="AN192" s="43" t="str">
        <f t="shared" si="73"/>
        <v>OK</v>
      </c>
      <c r="AO192" s="43" t="str">
        <f t="shared" si="73"/>
        <v>OK</v>
      </c>
      <c r="AP192" s="43" t="str">
        <f t="shared" si="73"/>
        <v>OK</v>
      </c>
      <c r="AQ192" s="43" t="str">
        <f t="shared" si="73"/>
        <v>OK</v>
      </c>
      <c r="AR192" s="43" t="str">
        <f t="shared" si="73"/>
        <v>OK</v>
      </c>
      <c r="AS192" s="43" t="str">
        <f t="shared" si="73"/>
        <v>OK</v>
      </c>
      <c r="AT192" s="43" t="str">
        <f t="shared" si="73"/>
        <v>OK</v>
      </c>
      <c r="AU192" s="43" t="str">
        <f t="shared" si="73"/>
        <v>OK</v>
      </c>
      <c r="AV192" s="43" t="str">
        <f t="shared" si="73"/>
        <v>OK</v>
      </c>
      <c r="AW192" s="43" t="str">
        <f t="shared" si="73"/>
        <v>OK</v>
      </c>
      <c r="AX192" s="43" t="str">
        <f t="shared" si="73"/>
        <v>OK</v>
      </c>
      <c r="AY192" s="43" t="str">
        <f t="shared" si="73"/>
        <v>OK</v>
      </c>
      <c r="AZ192" s="43" t="str">
        <f t="shared" si="73"/>
        <v>OK</v>
      </c>
      <c r="BA192" s="44" t="str">
        <f t="shared" si="73"/>
        <v>OK</v>
      </c>
    </row>
    <row r="193" spans="1:53" s="246" customFormat="1" outlineLevel="1">
      <c r="A193" s="244"/>
      <c r="B193" s="244"/>
      <c r="C193" s="48" t="s">
        <v>144</v>
      </c>
      <c r="D193" s="123" t="s">
        <v>420</v>
      </c>
      <c r="E193" s="126" t="s">
        <v>449</v>
      </c>
      <c r="F193" s="339" t="s">
        <v>27</v>
      </c>
      <c r="G193" s="56" t="s">
        <v>27</v>
      </c>
      <c r="H193" s="56" t="s">
        <v>27</v>
      </c>
      <c r="I193" s="56" t="s">
        <v>27</v>
      </c>
      <c r="J193" s="56" t="s">
        <v>27</v>
      </c>
      <c r="K193" s="56" t="s">
        <v>27</v>
      </c>
      <c r="L193" s="56" t="s">
        <v>27</v>
      </c>
      <c r="M193" s="340" t="s">
        <v>27</v>
      </c>
      <c r="N193" s="341" t="str">
        <f t="shared" ref="N193:BA193" si="74">IF(N110&gt;=N111,"OK","BŁĄD")</f>
        <v>OK</v>
      </c>
      <c r="O193" s="342" t="str">
        <f t="shared" si="74"/>
        <v>OK</v>
      </c>
      <c r="P193" s="342" t="str">
        <f t="shared" si="74"/>
        <v>OK</v>
      </c>
      <c r="Q193" s="342" t="str">
        <f t="shared" si="74"/>
        <v>OK</v>
      </c>
      <c r="R193" s="342" t="str">
        <f t="shared" si="74"/>
        <v>OK</v>
      </c>
      <c r="S193" s="342" t="str">
        <f t="shared" si="74"/>
        <v>OK</v>
      </c>
      <c r="T193" s="342" t="str">
        <f t="shared" si="74"/>
        <v>OK</v>
      </c>
      <c r="U193" s="342" t="str">
        <f t="shared" si="74"/>
        <v>OK</v>
      </c>
      <c r="V193" s="342" t="str">
        <f t="shared" si="74"/>
        <v>OK</v>
      </c>
      <c r="W193" s="342" t="str">
        <f t="shared" si="74"/>
        <v>OK</v>
      </c>
      <c r="X193" s="342" t="str">
        <f t="shared" si="74"/>
        <v>OK</v>
      </c>
      <c r="Y193" s="342" t="str">
        <f t="shared" si="74"/>
        <v>OK</v>
      </c>
      <c r="Z193" s="342" t="str">
        <f t="shared" si="74"/>
        <v>OK</v>
      </c>
      <c r="AA193" s="342" t="str">
        <f t="shared" si="74"/>
        <v>OK</v>
      </c>
      <c r="AB193" s="342" t="str">
        <f t="shared" si="74"/>
        <v>OK</v>
      </c>
      <c r="AC193" s="342" t="str">
        <f t="shared" si="74"/>
        <v>OK</v>
      </c>
      <c r="AD193" s="342" t="str">
        <f t="shared" si="74"/>
        <v>OK</v>
      </c>
      <c r="AE193" s="342" t="str">
        <f t="shared" si="74"/>
        <v>OK</v>
      </c>
      <c r="AF193" s="342" t="str">
        <f t="shared" si="74"/>
        <v>OK</v>
      </c>
      <c r="AG193" s="342" t="str">
        <f t="shared" si="74"/>
        <v>OK</v>
      </c>
      <c r="AH193" s="342" t="str">
        <f t="shared" si="74"/>
        <v>OK</v>
      </c>
      <c r="AI193" s="342" t="str">
        <f t="shared" si="74"/>
        <v>OK</v>
      </c>
      <c r="AJ193" s="342" t="str">
        <f t="shared" si="74"/>
        <v>OK</v>
      </c>
      <c r="AK193" s="342" t="str">
        <f t="shared" si="74"/>
        <v>OK</v>
      </c>
      <c r="AL193" s="342" t="str">
        <f t="shared" si="74"/>
        <v>OK</v>
      </c>
      <c r="AM193" s="342" t="str">
        <f t="shared" si="74"/>
        <v>OK</v>
      </c>
      <c r="AN193" s="342" t="str">
        <f t="shared" si="74"/>
        <v>OK</v>
      </c>
      <c r="AO193" s="342" t="str">
        <f t="shared" si="74"/>
        <v>OK</v>
      </c>
      <c r="AP193" s="342" t="str">
        <f t="shared" si="74"/>
        <v>OK</v>
      </c>
      <c r="AQ193" s="342" t="str">
        <f t="shared" si="74"/>
        <v>OK</v>
      </c>
      <c r="AR193" s="342" t="str">
        <f t="shared" si="74"/>
        <v>OK</v>
      </c>
      <c r="AS193" s="342" t="str">
        <f t="shared" si="74"/>
        <v>OK</v>
      </c>
      <c r="AT193" s="342" t="str">
        <f t="shared" si="74"/>
        <v>OK</v>
      </c>
      <c r="AU193" s="342" t="str">
        <f t="shared" si="74"/>
        <v>OK</v>
      </c>
      <c r="AV193" s="342" t="str">
        <f t="shared" si="74"/>
        <v>OK</v>
      </c>
      <c r="AW193" s="342" t="str">
        <f t="shared" si="74"/>
        <v>OK</v>
      </c>
      <c r="AX193" s="342" t="str">
        <f t="shared" si="74"/>
        <v>OK</v>
      </c>
      <c r="AY193" s="342" t="str">
        <f t="shared" si="74"/>
        <v>OK</v>
      </c>
      <c r="AZ193" s="342" t="str">
        <f t="shared" si="74"/>
        <v>OK</v>
      </c>
      <c r="BA193" s="343" t="str">
        <f t="shared" si="74"/>
        <v>OK</v>
      </c>
    </row>
    <row r="194" spans="1:53" s="246" customFormat="1">
      <c r="A194" s="244"/>
      <c r="B194" s="244"/>
      <c r="C194" s="344"/>
      <c r="D194" s="344"/>
      <c r="E194" s="344"/>
      <c r="F194" s="344"/>
      <c r="G194" s="344"/>
      <c r="H194" s="344"/>
      <c r="I194" s="344"/>
      <c r="J194" s="345"/>
      <c r="K194" s="345"/>
      <c r="L194" s="345"/>
      <c r="M194" s="34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s="246" customFormat="1" ht="15">
      <c r="A195" s="244"/>
      <c r="B195" s="244"/>
      <c r="C195" s="28"/>
      <c r="D195" s="28"/>
      <c r="E195" s="224" t="s">
        <v>601</v>
      </c>
      <c r="F195" s="224"/>
      <c r="G195" s="224"/>
      <c r="H195" s="224"/>
      <c r="I195" s="224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 spans="1:53" s="246" customFormat="1" outlineLevel="1">
      <c r="A196" s="244"/>
      <c r="B196" s="244"/>
      <c r="C196" s="28"/>
      <c r="D196" s="28"/>
      <c r="E196" s="146" t="str">
        <f t="shared" ref="E196:M196" si="75">+E9</f>
        <v>Wyszczególnienie</v>
      </c>
      <c r="F196" s="147">
        <f t="shared" si="75"/>
        <v>2015</v>
      </c>
      <c r="G196" s="147">
        <f t="shared" si="75"/>
        <v>2016</v>
      </c>
      <c r="H196" s="147">
        <f t="shared" si="75"/>
        <v>2017</v>
      </c>
      <c r="I196" s="147">
        <f t="shared" si="75"/>
        <v>2018</v>
      </c>
      <c r="J196" s="147">
        <f t="shared" si="75"/>
        <v>2019</v>
      </c>
      <c r="K196" s="148">
        <f t="shared" si="75"/>
        <v>2020</v>
      </c>
      <c r="L196" s="148">
        <f t="shared" si="75"/>
        <v>2021</v>
      </c>
      <c r="M196" s="149">
        <f t="shared" si="75"/>
        <v>2021</v>
      </c>
      <c r="N196" s="150">
        <f t="shared" ref="N196:BA196" si="76">+N9</f>
        <v>2022</v>
      </c>
      <c r="O196" s="151">
        <f t="shared" si="76"/>
        <v>2023</v>
      </c>
      <c r="P196" s="151">
        <f t="shared" si="76"/>
        <v>2024</v>
      </c>
      <c r="Q196" s="151">
        <f t="shared" si="76"/>
        <v>2025</v>
      </c>
      <c r="R196" s="151">
        <f t="shared" si="76"/>
        <v>2026</v>
      </c>
      <c r="S196" s="151">
        <f t="shared" si="76"/>
        <v>2027</v>
      </c>
      <c r="T196" s="151">
        <f t="shared" si="76"/>
        <v>2028</v>
      </c>
      <c r="U196" s="151">
        <f t="shared" si="76"/>
        <v>2029</v>
      </c>
      <c r="V196" s="151">
        <f t="shared" si="76"/>
        <v>2030</v>
      </c>
      <c r="W196" s="151">
        <f t="shared" si="76"/>
        <v>2031</v>
      </c>
      <c r="X196" s="151">
        <f t="shared" si="76"/>
        <v>2032</v>
      </c>
      <c r="Y196" s="151">
        <f t="shared" si="76"/>
        <v>2033</v>
      </c>
      <c r="Z196" s="151">
        <f t="shared" si="76"/>
        <v>2034</v>
      </c>
      <c r="AA196" s="151">
        <f t="shared" si="76"/>
        <v>2035</v>
      </c>
      <c r="AB196" s="151">
        <f t="shared" si="76"/>
        <v>2036</v>
      </c>
      <c r="AC196" s="151">
        <f t="shared" si="76"/>
        <v>2037</v>
      </c>
      <c r="AD196" s="151">
        <f t="shared" si="76"/>
        <v>2038</v>
      </c>
      <c r="AE196" s="151">
        <f t="shared" si="76"/>
        <v>2039</v>
      </c>
      <c r="AF196" s="151">
        <f t="shared" si="76"/>
        <v>2040</v>
      </c>
      <c r="AG196" s="151">
        <f t="shared" si="76"/>
        <v>2041</v>
      </c>
      <c r="AH196" s="151">
        <f t="shared" si="76"/>
        <v>2042</v>
      </c>
      <c r="AI196" s="151">
        <f t="shared" si="76"/>
        <v>2043</v>
      </c>
      <c r="AJ196" s="151">
        <f t="shared" si="76"/>
        <v>2044</v>
      </c>
      <c r="AK196" s="151">
        <f t="shared" si="76"/>
        <v>2045</v>
      </c>
      <c r="AL196" s="151">
        <f t="shared" si="76"/>
        <v>2046</v>
      </c>
      <c r="AM196" s="151">
        <f t="shared" si="76"/>
        <v>2047</v>
      </c>
      <c r="AN196" s="151">
        <f t="shared" si="76"/>
        <v>2048</v>
      </c>
      <c r="AO196" s="151">
        <f t="shared" si="76"/>
        <v>2049</v>
      </c>
      <c r="AP196" s="151">
        <f t="shared" si="76"/>
        <v>2050</v>
      </c>
      <c r="AQ196" s="151">
        <f t="shared" si="76"/>
        <v>2051</v>
      </c>
      <c r="AR196" s="151">
        <f t="shared" si="76"/>
        <v>2052</v>
      </c>
      <c r="AS196" s="151">
        <f t="shared" si="76"/>
        <v>2053</v>
      </c>
      <c r="AT196" s="151">
        <f t="shared" si="76"/>
        <v>2054</v>
      </c>
      <c r="AU196" s="151">
        <f t="shared" si="76"/>
        <v>2055</v>
      </c>
      <c r="AV196" s="151">
        <f t="shared" si="76"/>
        <v>2056</v>
      </c>
      <c r="AW196" s="151">
        <f t="shared" si="76"/>
        <v>2057</v>
      </c>
      <c r="AX196" s="151">
        <f t="shared" si="76"/>
        <v>2058</v>
      </c>
      <c r="AY196" s="151">
        <f t="shared" si="76"/>
        <v>2059</v>
      </c>
      <c r="AZ196" s="151">
        <f t="shared" si="76"/>
        <v>2060</v>
      </c>
      <c r="BA196" s="484">
        <f t="shared" si="76"/>
        <v>2061</v>
      </c>
    </row>
    <row r="197" spans="1:53" s="246" customFormat="1" outlineLevel="1">
      <c r="A197" s="244"/>
      <c r="B197" s="244"/>
      <c r="C197" s="28"/>
      <c r="D197" s="28"/>
      <c r="E197" s="346" t="s">
        <v>465</v>
      </c>
      <c r="F197" s="347">
        <f>+F10</f>
        <v>37654560.880000003</v>
      </c>
      <c r="G197" s="347">
        <f>+G10</f>
        <v>42577701.219999999</v>
      </c>
      <c r="H197" s="347">
        <f>+H10</f>
        <v>42272095.82</v>
      </c>
      <c r="I197" s="347">
        <f>+I10</f>
        <v>49704674.329999998</v>
      </c>
      <c r="J197" s="347">
        <f t="shared" ref="J197:BA197" si="77">+J10</f>
        <v>58761132.340000004</v>
      </c>
      <c r="K197" s="347">
        <f t="shared" si="77"/>
        <v>62485802.079999998</v>
      </c>
      <c r="L197" s="347">
        <f t="shared" si="77"/>
        <v>55356292.649999999</v>
      </c>
      <c r="M197" s="347">
        <f t="shared" si="77"/>
        <v>67688312.060000002</v>
      </c>
      <c r="N197" s="347">
        <f t="shared" si="77"/>
        <v>60726395</v>
      </c>
      <c r="O197" s="347">
        <f t="shared" si="77"/>
        <v>73658346</v>
      </c>
      <c r="P197" s="347">
        <f t="shared" si="77"/>
        <v>53707637</v>
      </c>
      <c r="Q197" s="347">
        <f t="shared" si="77"/>
        <v>55569905</v>
      </c>
      <c r="R197" s="347">
        <f t="shared" si="77"/>
        <v>57497351</v>
      </c>
      <c r="S197" s="347">
        <f t="shared" si="77"/>
        <v>59435260</v>
      </c>
      <c r="T197" s="347">
        <f t="shared" si="77"/>
        <v>61380124</v>
      </c>
      <c r="U197" s="347">
        <f t="shared" si="77"/>
        <v>63267408</v>
      </c>
      <c r="V197" s="347">
        <f t="shared" si="77"/>
        <v>65087663</v>
      </c>
      <c r="W197" s="347">
        <f t="shared" si="77"/>
        <v>66896118</v>
      </c>
      <c r="X197" s="347">
        <f t="shared" si="77"/>
        <v>68188813</v>
      </c>
      <c r="Y197" s="347">
        <f t="shared" si="77"/>
        <v>69961722</v>
      </c>
      <c r="Z197" s="347">
        <f t="shared" si="77"/>
        <v>0</v>
      </c>
      <c r="AA197" s="347">
        <f t="shared" si="77"/>
        <v>0</v>
      </c>
      <c r="AB197" s="347">
        <f t="shared" si="77"/>
        <v>0</v>
      </c>
      <c r="AC197" s="347">
        <f t="shared" si="77"/>
        <v>0</v>
      </c>
      <c r="AD197" s="347">
        <f t="shared" si="77"/>
        <v>0</v>
      </c>
      <c r="AE197" s="347">
        <f t="shared" si="77"/>
        <v>0</v>
      </c>
      <c r="AF197" s="347">
        <f t="shared" si="77"/>
        <v>0</v>
      </c>
      <c r="AG197" s="347">
        <f t="shared" si="77"/>
        <v>0</v>
      </c>
      <c r="AH197" s="347">
        <f t="shared" si="77"/>
        <v>0</v>
      </c>
      <c r="AI197" s="347">
        <f t="shared" si="77"/>
        <v>0</v>
      </c>
      <c r="AJ197" s="347">
        <f t="shared" si="77"/>
        <v>0</v>
      </c>
      <c r="AK197" s="347">
        <f t="shared" si="77"/>
        <v>0</v>
      </c>
      <c r="AL197" s="347">
        <f t="shared" si="77"/>
        <v>0</v>
      </c>
      <c r="AM197" s="347">
        <f t="shared" si="77"/>
        <v>0</v>
      </c>
      <c r="AN197" s="347">
        <f t="shared" si="77"/>
        <v>0</v>
      </c>
      <c r="AO197" s="347">
        <f t="shared" si="77"/>
        <v>0</v>
      </c>
      <c r="AP197" s="347">
        <f t="shared" si="77"/>
        <v>0</v>
      </c>
      <c r="AQ197" s="347">
        <f t="shared" si="77"/>
        <v>0</v>
      </c>
      <c r="AR197" s="347">
        <f t="shared" si="77"/>
        <v>0</v>
      </c>
      <c r="AS197" s="347">
        <f t="shared" si="77"/>
        <v>0</v>
      </c>
      <c r="AT197" s="347">
        <f t="shared" si="77"/>
        <v>0</v>
      </c>
      <c r="AU197" s="347">
        <f t="shared" si="77"/>
        <v>0</v>
      </c>
      <c r="AV197" s="347">
        <f t="shared" si="77"/>
        <v>0</v>
      </c>
      <c r="AW197" s="347">
        <f t="shared" si="77"/>
        <v>0</v>
      </c>
      <c r="AX197" s="347">
        <f t="shared" si="77"/>
        <v>0</v>
      </c>
      <c r="AY197" s="347">
        <f t="shared" si="77"/>
        <v>0</v>
      </c>
      <c r="AZ197" s="347">
        <f t="shared" si="77"/>
        <v>0</v>
      </c>
      <c r="BA197" s="348">
        <f t="shared" si="77"/>
        <v>0</v>
      </c>
    </row>
    <row r="198" spans="1:53" s="246" customFormat="1" outlineLevel="1">
      <c r="A198" s="244"/>
      <c r="B198" s="244"/>
      <c r="C198" s="28"/>
      <c r="D198" s="28"/>
      <c r="E198" s="349" t="s">
        <v>470</v>
      </c>
      <c r="F198" s="350">
        <f>+F22-F26-F103</f>
        <v>31102584.52</v>
      </c>
      <c r="G198" s="350">
        <f>+G22-G26-G103</f>
        <v>31658637.899999999</v>
      </c>
      <c r="H198" s="350">
        <f>+H22-H26-H103</f>
        <v>34003440.769999996</v>
      </c>
      <c r="I198" s="350">
        <f>+I22-I26-I103</f>
        <v>35750132.149999999</v>
      </c>
      <c r="J198" s="350">
        <f t="shared" ref="J198:BA198" si="78">+J22-J26-J103</f>
        <v>39022223.989999995</v>
      </c>
      <c r="K198" s="350">
        <f t="shared" si="78"/>
        <v>42888138.530000001</v>
      </c>
      <c r="L198" s="350">
        <f t="shared" si="78"/>
        <v>47316304.649999999</v>
      </c>
      <c r="M198" s="350">
        <f t="shared" si="78"/>
        <v>47345857.340000004</v>
      </c>
      <c r="N198" s="350">
        <f t="shared" si="78"/>
        <v>48504045</v>
      </c>
      <c r="O198" s="350">
        <f t="shared" si="78"/>
        <v>48937204</v>
      </c>
      <c r="P198" s="350">
        <f t="shared" si="78"/>
        <v>50258509</v>
      </c>
      <c r="Q198" s="350">
        <f t="shared" si="78"/>
        <v>51514972</v>
      </c>
      <c r="R198" s="350">
        <f t="shared" si="78"/>
        <v>52802846</v>
      </c>
      <c r="S198" s="350">
        <f t="shared" si="78"/>
        <v>54122917</v>
      </c>
      <c r="T198" s="350">
        <f t="shared" si="78"/>
        <v>55475990</v>
      </c>
      <c r="U198" s="350">
        <f t="shared" si="78"/>
        <v>56862890</v>
      </c>
      <c r="V198" s="350">
        <f t="shared" si="78"/>
        <v>58284462</v>
      </c>
      <c r="W198" s="350">
        <f t="shared" si="78"/>
        <v>59741573</v>
      </c>
      <c r="X198" s="350">
        <f t="shared" si="78"/>
        <v>61235112</v>
      </c>
      <c r="Y198" s="350">
        <f t="shared" si="78"/>
        <v>62765990</v>
      </c>
      <c r="Z198" s="350">
        <f t="shared" si="78"/>
        <v>0</v>
      </c>
      <c r="AA198" s="350">
        <f t="shared" si="78"/>
        <v>0</v>
      </c>
      <c r="AB198" s="350">
        <f t="shared" si="78"/>
        <v>0</v>
      </c>
      <c r="AC198" s="350">
        <f t="shared" si="78"/>
        <v>0</v>
      </c>
      <c r="AD198" s="350">
        <f t="shared" si="78"/>
        <v>0</v>
      </c>
      <c r="AE198" s="350">
        <f t="shared" si="78"/>
        <v>0</v>
      </c>
      <c r="AF198" s="350">
        <f t="shared" si="78"/>
        <v>0</v>
      </c>
      <c r="AG198" s="350">
        <f t="shared" si="78"/>
        <v>0</v>
      </c>
      <c r="AH198" s="350">
        <f t="shared" si="78"/>
        <v>0</v>
      </c>
      <c r="AI198" s="350">
        <f t="shared" si="78"/>
        <v>0</v>
      </c>
      <c r="AJ198" s="350">
        <f t="shared" si="78"/>
        <v>0</v>
      </c>
      <c r="AK198" s="350">
        <f t="shared" si="78"/>
        <v>0</v>
      </c>
      <c r="AL198" s="350">
        <f t="shared" si="78"/>
        <v>0</v>
      </c>
      <c r="AM198" s="350">
        <f t="shared" si="78"/>
        <v>0</v>
      </c>
      <c r="AN198" s="350">
        <f t="shared" si="78"/>
        <v>0</v>
      </c>
      <c r="AO198" s="350">
        <f t="shared" si="78"/>
        <v>0</v>
      </c>
      <c r="AP198" s="350">
        <f t="shared" si="78"/>
        <v>0</v>
      </c>
      <c r="AQ198" s="350">
        <f t="shared" si="78"/>
        <v>0</v>
      </c>
      <c r="AR198" s="350">
        <f t="shared" si="78"/>
        <v>0</v>
      </c>
      <c r="AS198" s="350">
        <f t="shared" si="78"/>
        <v>0</v>
      </c>
      <c r="AT198" s="350">
        <f t="shared" si="78"/>
        <v>0</v>
      </c>
      <c r="AU198" s="350">
        <f t="shared" si="78"/>
        <v>0</v>
      </c>
      <c r="AV198" s="350">
        <f t="shared" si="78"/>
        <v>0</v>
      </c>
      <c r="AW198" s="350">
        <f t="shared" si="78"/>
        <v>0</v>
      </c>
      <c r="AX198" s="350">
        <f t="shared" si="78"/>
        <v>0</v>
      </c>
      <c r="AY198" s="350">
        <f t="shared" si="78"/>
        <v>0</v>
      </c>
      <c r="AZ198" s="350">
        <f t="shared" si="78"/>
        <v>0</v>
      </c>
      <c r="BA198" s="351">
        <f t="shared" si="78"/>
        <v>0</v>
      </c>
    </row>
    <row r="199" spans="1:53" s="246" customFormat="1" outlineLevel="1">
      <c r="A199" s="244"/>
      <c r="B199" s="244"/>
      <c r="C199" s="28"/>
      <c r="D199" s="28"/>
      <c r="E199" s="352" t="s">
        <v>455</v>
      </c>
      <c r="F199" s="350">
        <f>+F38+F40</f>
        <v>0</v>
      </c>
      <c r="G199" s="350">
        <f>+G38+G40</f>
        <v>0</v>
      </c>
      <c r="H199" s="350">
        <f>+H38+H40</f>
        <v>0</v>
      </c>
      <c r="I199" s="350">
        <f>+I38+I40</f>
        <v>0</v>
      </c>
      <c r="J199" s="350">
        <f t="shared" ref="J199:BA199" si="79">+J38+J40</f>
        <v>1699428.56</v>
      </c>
      <c r="K199" s="350">
        <f t="shared" si="79"/>
        <v>6906547.6299999999</v>
      </c>
      <c r="L199" s="350">
        <f t="shared" si="79"/>
        <v>10590000</v>
      </c>
      <c r="M199" s="350">
        <f t="shared" si="79"/>
        <v>10631472.84</v>
      </c>
      <c r="N199" s="350">
        <f t="shared" si="79"/>
        <v>8130538</v>
      </c>
      <c r="O199" s="350">
        <f t="shared" si="79"/>
        <v>0</v>
      </c>
      <c r="P199" s="350">
        <f t="shared" si="79"/>
        <v>0</v>
      </c>
      <c r="Q199" s="350">
        <f t="shared" si="79"/>
        <v>0</v>
      </c>
      <c r="R199" s="350">
        <f t="shared" si="79"/>
        <v>0</v>
      </c>
      <c r="S199" s="350">
        <f t="shared" si="79"/>
        <v>0</v>
      </c>
      <c r="T199" s="350">
        <f t="shared" si="79"/>
        <v>0</v>
      </c>
      <c r="U199" s="350">
        <f t="shared" si="79"/>
        <v>0</v>
      </c>
      <c r="V199" s="350">
        <f t="shared" si="79"/>
        <v>0</v>
      </c>
      <c r="W199" s="350">
        <f t="shared" si="79"/>
        <v>0</v>
      </c>
      <c r="X199" s="350">
        <f t="shared" si="79"/>
        <v>0</v>
      </c>
      <c r="Y199" s="350">
        <f t="shared" si="79"/>
        <v>0</v>
      </c>
      <c r="Z199" s="350">
        <f t="shared" si="79"/>
        <v>0</v>
      </c>
      <c r="AA199" s="350">
        <f t="shared" si="79"/>
        <v>0</v>
      </c>
      <c r="AB199" s="350">
        <f t="shared" si="79"/>
        <v>0</v>
      </c>
      <c r="AC199" s="350">
        <f t="shared" si="79"/>
        <v>0</v>
      </c>
      <c r="AD199" s="350">
        <f t="shared" si="79"/>
        <v>0</v>
      </c>
      <c r="AE199" s="350">
        <f t="shared" si="79"/>
        <v>0</v>
      </c>
      <c r="AF199" s="350">
        <f t="shared" si="79"/>
        <v>0</v>
      </c>
      <c r="AG199" s="350">
        <f t="shared" si="79"/>
        <v>0</v>
      </c>
      <c r="AH199" s="350">
        <f t="shared" si="79"/>
        <v>0</v>
      </c>
      <c r="AI199" s="350">
        <f t="shared" si="79"/>
        <v>0</v>
      </c>
      <c r="AJ199" s="350">
        <f t="shared" si="79"/>
        <v>0</v>
      </c>
      <c r="AK199" s="350">
        <f t="shared" si="79"/>
        <v>0</v>
      </c>
      <c r="AL199" s="350">
        <f t="shared" si="79"/>
        <v>0</v>
      </c>
      <c r="AM199" s="350">
        <f t="shared" si="79"/>
        <v>0</v>
      </c>
      <c r="AN199" s="350">
        <f t="shared" si="79"/>
        <v>0</v>
      </c>
      <c r="AO199" s="350">
        <f t="shared" si="79"/>
        <v>0</v>
      </c>
      <c r="AP199" s="350">
        <f t="shared" si="79"/>
        <v>0</v>
      </c>
      <c r="AQ199" s="350">
        <f t="shared" si="79"/>
        <v>0</v>
      </c>
      <c r="AR199" s="350">
        <f t="shared" si="79"/>
        <v>0</v>
      </c>
      <c r="AS199" s="350">
        <f t="shared" si="79"/>
        <v>0</v>
      </c>
      <c r="AT199" s="350">
        <f t="shared" si="79"/>
        <v>0</v>
      </c>
      <c r="AU199" s="350">
        <f t="shared" si="79"/>
        <v>0</v>
      </c>
      <c r="AV199" s="350">
        <f t="shared" si="79"/>
        <v>0</v>
      </c>
      <c r="AW199" s="350">
        <f t="shared" si="79"/>
        <v>0</v>
      </c>
      <c r="AX199" s="350">
        <f t="shared" si="79"/>
        <v>0</v>
      </c>
      <c r="AY199" s="350">
        <f t="shared" si="79"/>
        <v>0</v>
      </c>
      <c r="AZ199" s="350">
        <f t="shared" si="79"/>
        <v>0</v>
      </c>
      <c r="BA199" s="351">
        <f t="shared" si="79"/>
        <v>0</v>
      </c>
    </row>
    <row r="200" spans="1:53" s="246" customFormat="1" outlineLevel="1">
      <c r="A200" s="244"/>
      <c r="B200" s="244"/>
      <c r="C200" s="28"/>
      <c r="D200" s="28"/>
      <c r="E200" s="353" t="s">
        <v>456</v>
      </c>
      <c r="F200" s="350">
        <f>+F44+F42</f>
        <v>0</v>
      </c>
      <c r="G200" s="350">
        <f>+G44+G42</f>
        <v>0</v>
      </c>
      <c r="H200" s="350">
        <f>+H44+H42</f>
        <v>0</v>
      </c>
      <c r="I200" s="350">
        <f>+I44+I42</f>
        <v>0</v>
      </c>
      <c r="J200" s="350">
        <f t="shared" ref="J200:BA200" si="80">+J44+J42</f>
        <v>0</v>
      </c>
      <c r="K200" s="350">
        <f t="shared" si="80"/>
        <v>0</v>
      </c>
      <c r="L200" s="350">
        <f t="shared" si="80"/>
        <v>0</v>
      </c>
      <c r="M200" s="350">
        <f t="shared" si="80"/>
        <v>0</v>
      </c>
      <c r="N200" s="350">
        <f t="shared" si="80"/>
        <v>32000</v>
      </c>
      <c r="O200" s="350">
        <f t="shared" si="80"/>
        <v>0</v>
      </c>
      <c r="P200" s="350">
        <f t="shared" si="80"/>
        <v>0</v>
      </c>
      <c r="Q200" s="350">
        <f t="shared" si="80"/>
        <v>0</v>
      </c>
      <c r="R200" s="350">
        <f t="shared" si="80"/>
        <v>0</v>
      </c>
      <c r="S200" s="350">
        <f t="shared" si="80"/>
        <v>0</v>
      </c>
      <c r="T200" s="350">
        <f t="shared" si="80"/>
        <v>0</v>
      </c>
      <c r="U200" s="350">
        <f t="shared" si="80"/>
        <v>0</v>
      </c>
      <c r="V200" s="350">
        <f t="shared" si="80"/>
        <v>0</v>
      </c>
      <c r="W200" s="350">
        <f t="shared" si="80"/>
        <v>0</v>
      </c>
      <c r="X200" s="350">
        <f t="shared" si="80"/>
        <v>0</v>
      </c>
      <c r="Y200" s="350">
        <f t="shared" si="80"/>
        <v>0</v>
      </c>
      <c r="Z200" s="350">
        <f t="shared" si="80"/>
        <v>0</v>
      </c>
      <c r="AA200" s="350">
        <f t="shared" si="80"/>
        <v>0</v>
      </c>
      <c r="AB200" s="350">
        <f t="shared" si="80"/>
        <v>0</v>
      </c>
      <c r="AC200" s="350">
        <f t="shared" si="80"/>
        <v>0</v>
      </c>
      <c r="AD200" s="350">
        <f t="shared" si="80"/>
        <v>0</v>
      </c>
      <c r="AE200" s="350">
        <f t="shared" si="80"/>
        <v>0</v>
      </c>
      <c r="AF200" s="350">
        <f t="shared" si="80"/>
        <v>0</v>
      </c>
      <c r="AG200" s="350">
        <f t="shared" si="80"/>
        <v>0</v>
      </c>
      <c r="AH200" s="350">
        <f t="shared" si="80"/>
        <v>0</v>
      </c>
      <c r="AI200" s="350">
        <f t="shared" si="80"/>
        <v>0</v>
      </c>
      <c r="AJ200" s="350">
        <f t="shared" si="80"/>
        <v>0</v>
      </c>
      <c r="AK200" s="350">
        <f t="shared" si="80"/>
        <v>0</v>
      </c>
      <c r="AL200" s="350">
        <f t="shared" si="80"/>
        <v>0</v>
      </c>
      <c r="AM200" s="350">
        <f t="shared" si="80"/>
        <v>0</v>
      </c>
      <c r="AN200" s="350">
        <f t="shared" si="80"/>
        <v>0</v>
      </c>
      <c r="AO200" s="350">
        <f t="shared" si="80"/>
        <v>0</v>
      </c>
      <c r="AP200" s="350">
        <f t="shared" si="80"/>
        <v>0</v>
      </c>
      <c r="AQ200" s="350">
        <f t="shared" si="80"/>
        <v>0</v>
      </c>
      <c r="AR200" s="350">
        <f t="shared" si="80"/>
        <v>0</v>
      </c>
      <c r="AS200" s="350">
        <f t="shared" si="80"/>
        <v>0</v>
      </c>
      <c r="AT200" s="350">
        <f t="shared" si="80"/>
        <v>0</v>
      </c>
      <c r="AU200" s="350">
        <f t="shared" si="80"/>
        <v>0</v>
      </c>
      <c r="AV200" s="350">
        <f t="shared" si="80"/>
        <v>0</v>
      </c>
      <c r="AW200" s="350">
        <f t="shared" si="80"/>
        <v>0</v>
      </c>
      <c r="AX200" s="350">
        <f t="shared" si="80"/>
        <v>0</v>
      </c>
      <c r="AY200" s="350">
        <f t="shared" si="80"/>
        <v>0</v>
      </c>
      <c r="AZ200" s="350">
        <f t="shared" si="80"/>
        <v>0</v>
      </c>
      <c r="BA200" s="351">
        <f t="shared" si="80"/>
        <v>0</v>
      </c>
    </row>
    <row r="201" spans="1:53" s="246" customFormat="1" outlineLevel="1">
      <c r="A201" s="244"/>
      <c r="B201" s="244"/>
      <c r="C201" s="28"/>
      <c r="D201" s="28"/>
      <c r="E201" s="354" t="s">
        <v>464</v>
      </c>
      <c r="F201" s="355">
        <f>+ROUND(F197-F198+F199+F200,2)</f>
        <v>6551976.3600000003</v>
      </c>
      <c r="G201" s="355">
        <f>+ROUND(G197-G198+G199+G200,2)</f>
        <v>10919063.32</v>
      </c>
      <c r="H201" s="355">
        <f>+ROUND(H197-H198+H199+H200,2)</f>
        <v>8268655.0499999998</v>
      </c>
      <c r="I201" s="355">
        <f>+ROUND(I197-I198+I199+I200,2)</f>
        <v>13954542.18</v>
      </c>
      <c r="J201" s="355">
        <f t="shared" ref="J201:BA201" si="81">+ROUND(J197-J198+J199+J200,2)</f>
        <v>21438336.91</v>
      </c>
      <c r="K201" s="355">
        <f t="shared" si="81"/>
        <v>26504211.18</v>
      </c>
      <c r="L201" s="355">
        <f t="shared" si="81"/>
        <v>18629988</v>
      </c>
      <c r="M201" s="355">
        <f t="shared" si="81"/>
        <v>30973927.559999999</v>
      </c>
      <c r="N201" s="355">
        <f t="shared" si="81"/>
        <v>20384888</v>
      </c>
      <c r="O201" s="355">
        <f t="shared" si="81"/>
        <v>24721142</v>
      </c>
      <c r="P201" s="355">
        <f t="shared" si="81"/>
        <v>3449128</v>
      </c>
      <c r="Q201" s="355">
        <f t="shared" si="81"/>
        <v>4054933</v>
      </c>
      <c r="R201" s="355">
        <f t="shared" si="81"/>
        <v>4694505</v>
      </c>
      <c r="S201" s="355">
        <f t="shared" si="81"/>
        <v>5312343</v>
      </c>
      <c r="T201" s="355">
        <f t="shared" si="81"/>
        <v>5904134</v>
      </c>
      <c r="U201" s="355">
        <f t="shared" si="81"/>
        <v>6404518</v>
      </c>
      <c r="V201" s="355">
        <f t="shared" si="81"/>
        <v>6803201</v>
      </c>
      <c r="W201" s="355">
        <f t="shared" si="81"/>
        <v>7154545</v>
      </c>
      <c r="X201" s="355">
        <f t="shared" si="81"/>
        <v>6953701</v>
      </c>
      <c r="Y201" s="355">
        <f t="shared" si="81"/>
        <v>7195732</v>
      </c>
      <c r="Z201" s="355">
        <f t="shared" si="81"/>
        <v>0</v>
      </c>
      <c r="AA201" s="355">
        <f t="shared" si="81"/>
        <v>0</v>
      </c>
      <c r="AB201" s="355">
        <f t="shared" si="81"/>
        <v>0</v>
      </c>
      <c r="AC201" s="355">
        <f t="shared" si="81"/>
        <v>0</v>
      </c>
      <c r="AD201" s="355">
        <f t="shared" si="81"/>
        <v>0</v>
      </c>
      <c r="AE201" s="355">
        <f t="shared" si="81"/>
        <v>0</v>
      </c>
      <c r="AF201" s="355">
        <f t="shared" si="81"/>
        <v>0</v>
      </c>
      <c r="AG201" s="355">
        <f t="shared" si="81"/>
        <v>0</v>
      </c>
      <c r="AH201" s="355">
        <f t="shared" si="81"/>
        <v>0</v>
      </c>
      <c r="AI201" s="355">
        <f t="shared" si="81"/>
        <v>0</v>
      </c>
      <c r="AJ201" s="355">
        <f t="shared" si="81"/>
        <v>0</v>
      </c>
      <c r="AK201" s="355">
        <f t="shared" si="81"/>
        <v>0</v>
      </c>
      <c r="AL201" s="355">
        <f t="shared" si="81"/>
        <v>0</v>
      </c>
      <c r="AM201" s="355">
        <f t="shared" si="81"/>
        <v>0</v>
      </c>
      <c r="AN201" s="355">
        <f t="shared" si="81"/>
        <v>0</v>
      </c>
      <c r="AO201" s="355">
        <f t="shared" si="81"/>
        <v>0</v>
      </c>
      <c r="AP201" s="355">
        <f t="shared" si="81"/>
        <v>0</v>
      </c>
      <c r="AQ201" s="355">
        <f t="shared" si="81"/>
        <v>0</v>
      </c>
      <c r="AR201" s="355">
        <f t="shared" si="81"/>
        <v>0</v>
      </c>
      <c r="AS201" s="355">
        <f t="shared" si="81"/>
        <v>0</v>
      </c>
      <c r="AT201" s="355">
        <f t="shared" si="81"/>
        <v>0</v>
      </c>
      <c r="AU201" s="355">
        <f t="shared" si="81"/>
        <v>0</v>
      </c>
      <c r="AV201" s="355">
        <f t="shared" si="81"/>
        <v>0</v>
      </c>
      <c r="AW201" s="355">
        <f t="shared" si="81"/>
        <v>0</v>
      </c>
      <c r="AX201" s="355">
        <f t="shared" si="81"/>
        <v>0</v>
      </c>
      <c r="AY201" s="355">
        <f t="shared" si="81"/>
        <v>0</v>
      </c>
      <c r="AZ201" s="355">
        <f t="shared" si="81"/>
        <v>0</v>
      </c>
      <c r="BA201" s="356">
        <f t="shared" si="81"/>
        <v>0</v>
      </c>
    </row>
    <row r="202" spans="1:53" s="246" customFormat="1" outlineLevel="1">
      <c r="A202" s="244"/>
      <c r="B202" s="244"/>
      <c r="C202" s="28"/>
      <c r="D202" s="28"/>
      <c r="E202" s="352" t="s">
        <v>462</v>
      </c>
      <c r="F202" s="350">
        <f>+F47</f>
        <v>0</v>
      </c>
      <c r="G202" s="350">
        <f>+G47</f>
        <v>0</v>
      </c>
      <c r="H202" s="350">
        <f>+H47</f>
        <v>0</v>
      </c>
      <c r="I202" s="350">
        <f>+I47</f>
        <v>0</v>
      </c>
      <c r="J202" s="350">
        <f t="shared" ref="J202:BA202" si="82">+J47</f>
        <v>0</v>
      </c>
      <c r="K202" s="350">
        <f t="shared" si="82"/>
        <v>0</v>
      </c>
      <c r="L202" s="350">
        <f t="shared" si="82"/>
        <v>2000000</v>
      </c>
      <c r="M202" s="350">
        <f t="shared" si="82"/>
        <v>2000000</v>
      </c>
      <c r="N202" s="350">
        <f t="shared" si="82"/>
        <v>0</v>
      </c>
      <c r="O202" s="350">
        <f t="shared" si="82"/>
        <v>2000000</v>
      </c>
      <c r="P202" s="350">
        <f t="shared" si="82"/>
        <v>1915000</v>
      </c>
      <c r="Q202" s="350">
        <f t="shared" si="82"/>
        <v>2000000</v>
      </c>
      <c r="R202" s="350">
        <f t="shared" si="82"/>
        <v>2000000</v>
      </c>
      <c r="S202" s="350">
        <f t="shared" si="82"/>
        <v>2000000</v>
      </c>
      <c r="T202" s="350">
        <f t="shared" si="82"/>
        <v>1500000</v>
      </c>
      <c r="U202" s="350">
        <f t="shared" si="82"/>
        <v>1500000</v>
      </c>
      <c r="V202" s="350">
        <f t="shared" si="82"/>
        <v>1500000</v>
      </c>
      <c r="W202" s="350">
        <f t="shared" si="82"/>
        <v>1500000</v>
      </c>
      <c r="X202" s="350">
        <f t="shared" si="82"/>
        <v>1750000</v>
      </c>
      <c r="Y202" s="350">
        <f t="shared" si="82"/>
        <v>1750000</v>
      </c>
      <c r="Z202" s="350">
        <f t="shared" si="82"/>
        <v>0</v>
      </c>
      <c r="AA202" s="350">
        <f t="shared" si="82"/>
        <v>0</v>
      </c>
      <c r="AB202" s="350">
        <f t="shared" si="82"/>
        <v>0</v>
      </c>
      <c r="AC202" s="350">
        <f t="shared" si="82"/>
        <v>0</v>
      </c>
      <c r="AD202" s="350">
        <f t="shared" si="82"/>
        <v>0</v>
      </c>
      <c r="AE202" s="350">
        <f t="shared" si="82"/>
        <v>0</v>
      </c>
      <c r="AF202" s="350">
        <f t="shared" si="82"/>
        <v>0</v>
      </c>
      <c r="AG202" s="350">
        <f t="shared" si="82"/>
        <v>0</v>
      </c>
      <c r="AH202" s="350">
        <f t="shared" si="82"/>
        <v>0</v>
      </c>
      <c r="AI202" s="350">
        <f t="shared" si="82"/>
        <v>0</v>
      </c>
      <c r="AJ202" s="350">
        <f t="shared" si="82"/>
        <v>0</v>
      </c>
      <c r="AK202" s="350">
        <f t="shared" si="82"/>
        <v>0</v>
      </c>
      <c r="AL202" s="350">
        <f t="shared" si="82"/>
        <v>0</v>
      </c>
      <c r="AM202" s="350">
        <f t="shared" si="82"/>
        <v>0</v>
      </c>
      <c r="AN202" s="350">
        <f t="shared" si="82"/>
        <v>0</v>
      </c>
      <c r="AO202" s="350">
        <f t="shared" si="82"/>
        <v>0</v>
      </c>
      <c r="AP202" s="350">
        <f t="shared" si="82"/>
        <v>0</v>
      </c>
      <c r="AQ202" s="350">
        <f t="shared" si="82"/>
        <v>0</v>
      </c>
      <c r="AR202" s="350">
        <f t="shared" si="82"/>
        <v>0</v>
      </c>
      <c r="AS202" s="350">
        <f t="shared" si="82"/>
        <v>0</v>
      </c>
      <c r="AT202" s="350">
        <f t="shared" si="82"/>
        <v>0</v>
      </c>
      <c r="AU202" s="350">
        <f t="shared" si="82"/>
        <v>0</v>
      </c>
      <c r="AV202" s="350">
        <f t="shared" si="82"/>
        <v>0</v>
      </c>
      <c r="AW202" s="350">
        <f t="shared" si="82"/>
        <v>0</v>
      </c>
      <c r="AX202" s="350">
        <f t="shared" si="82"/>
        <v>0</v>
      </c>
      <c r="AY202" s="350">
        <f t="shared" si="82"/>
        <v>0</v>
      </c>
      <c r="AZ202" s="350">
        <f t="shared" si="82"/>
        <v>0</v>
      </c>
      <c r="BA202" s="351">
        <f t="shared" si="82"/>
        <v>0</v>
      </c>
    </row>
    <row r="203" spans="1:53" s="246" customFormat="1" outlineLevel="1">
      <c r="A203" s="244"/>
      <c r="B203" s="244"/>
      <c r="C203" s="28"/>
      <c r="D203" s="28"/>
      <c r="E203" s="352" t="s">
        <v>471</v>
      </c>
      <c r="F203" s="350">
        <f>+F102-F103</f>
        <v>0</v>
      </c>
      <c r="G203" s="350">
        <f>+G102-G103</f>
        <v>0</v>
      </c>
      <c r="H203" s="350">
        <f>+H102-H103</f>
        <v>0</v>
      </c>
      <c r="I203" s="350">
        <f>+I102-I103</f>
        <v>0</v>
      </c>
      <c r="J203" s="350">
        <f t="shared" ref="J203:BA203" si="83">+J102-J103</f>
        <v>0</v>
      </c>
      <c r="K203" s="350">
        <f t="shared" si="83"/>
        <v>0</v>
      </c>
      <c r="L203" s="350">
        <f t="shared" si="83"/>
        <v>0</v>
      </c>
      <c r="M203" s="350">
        <f t="shared" si="83"/>
        <v>0</v>
      </c>
      <c r="N203" s="350">
        <f t="shared" si="83"/>
        <v>0</v>
      </c>
      <c r="O203" s="350">
        <f t="shared" si="83"/>
        <v>0</v>
      </c>
      <c r="P203" s="350">
        <f t="shared" si="83"/>
        <v>0</v>
      </c>
      <c r="Q203" s="350">
        <f t="shared" si="83"/>
        <v>0</v>
      </c>
      <c r="R203" s="350">
        <f t="shared" si="83"/>
        <v>0</v>
      </c>
      <c r="S203" s="350">
        <f t="shared" si="83"/>
        <v>0</v>
      </c>
      <c r="T203" s="350">
        <f t="shared" si="83"/>
        <v>0</v>
      </c>
      <c r="U203" s="350">
        <f t="shared" si="83"/>
        <v>0</v>
      </c>
      <c r="V203" s="350">
        <f t="shared" si="83"/>
        <v>0</v>
      </c>
      <c r="W203" s="350">
        <f t="shared" si="83"/>
        <v>0</v>
      </c>
      <c r="X203" s="350">
        <f t="shared" si="83"/>
        <v>0</v>
      </c>
      <c r="Y203" s="350">
        <f t="shared" si="83"/>
        <v>0</v>
      </c>
      <c r="Z203" s="350">
        <f t="shared" si="83"/>
        <v>0</v>
      </c>
      <c r="AA203" s="350">
        <f t="shared" si="83"/>
        <v>0</v>
      </c>
      <c r="AB203" s="350">
        <f t="shared" si="83"/>
        <v>0</v>
      </c>
      <c r="AC203" s="350">
        <f t="shared" si="83"/>
        <v>0</v>
      </c>
      <c r="AD203" s="350">
        <f t="shared" si="83"/>
        <v>0</v>
      </c>
      <c r="AE203" s="350">
        <f t="shared" si="83"/>
        <v>0</v>
      </c>
      <c r="AF203" s="350">
        <f t="shared" si="83"/>
        <v>0</v>
      </c>
      <c r="AG203" s="350">
        <f t="shared" si="83"/>
        <v>0</v>
      </c>
      <c r="AH203" s="350">
        <f t="shared" si="83"/>
        <v>0</v>
      </c>
      <c r="AI203" s="350">
        <f t="shared" si="83"/>
        <v>0</v>
      </c>
      <c r="AJ203" s="350">
        <f t="shared" si="83"/>
        <v>0</v>
      </c>
      <c r="AK203" s="350">
        <f t="shared" si="83"/>
        <v>0</v>
      </c>
      <c r="AL203" s="350">
        <f t="shared" si="83"/>
        <v>0</v>
      </c>
      <c r="AM203" s="350">
        <f t="shared" si="83"/>
        <v>0</v>
      </c>
      <c r="AN203" s="350">
        <f t="shared" si="83"/>
        <v>0</v>
      </c>
      <c r="AO203" s="350">
        <f t="shared" si="83"/>
        <v>0</v>
      </c>
      <c r="AP203" s="350">
        <f t="shared" si="83"/>
        <v>0</v>
      </c>
      <c r="AQ203" s="350">
        <f t="shared" si="83"/>
        <v>0</v>
      </c>
      <c r="AR203" s="350">
        <f t="shared" si="83"/>
        <v>0</v>
      </c>
      <c r="AS203" s="350">
        <f t="shared" si="83"/>
        <v>0</v>
      </c>
      <c r="AT203" s="350">
        <f t="shared" si="83"/>
        <v>0</v>
      </c>
      <c r="AU203" s="350">
        <f t="shared" si="83"/>
        <v>0</v>
      </c>
      <c r="AV203" s="350">
        <f t="shared" si="83"/>
        <v>0</v>
      </c>
      <c r="AW203" s="350">
        <f t="shared" si="83"/>
        <v>0</v>
      </c>
      <c r="AX203" s="350">
        <f t="shared" si="83"/>
        <v>0</v>
      </c>
      <c r="AY203" s="350">
        <f t="shared" si="83"/>
        <v>0</v>
      </c>
      <c r="AZ203" s="350">
        <f t="shared" si="83"/>
        <v>0</v>
      </c>
      <c r="BA203" s="351">
        <f t="shared" si="83"/>
        <v>0</v>
      </c>
    </row>
    <row r="204" spans="1:53" s="246" customFormat="1" outlineLevel="1">
      <c r="A204" s="244"/>
      <c r="B204" s="244"/>
      <c r="C204" s="28"/>
      <c r="D204" s="28"/>
      <c r="E204" s="352" t="s">
        <v>560</v>
      </c>
      <c r="F204" s="350">
        <f>+F103</f>
        <v>0</v>
      </c>
      <c r="G204" s="350">
        <f>+G103</f>
        <v>0</v>
      </c>
      <c r="H204" s="350">
        <f>+H103</f>
        <v>0</v>
      </c>
      <c r="I204" s="350">
        <f>+I103</f>
        <v>0</v>
      </c>
      <c r="J204" s="350">
        <f t="shared" ref="J204:BA204" si="84">+J103</f>
        <v>0</v>
      </c>
      <c r="K204" s="350">
        <f t="shared" si="84"/>
        <v>0</v>
      </c>
      <c r="L204" s="350">
        <f t="shared" si="84"/>
        <v>0</v>
      </c>
      <c r="M204" s="350">
        <f t="shared" si="84"/>
        <v>0</v>
      </c>
      <c r="N204" s="350">
        <f t="shared" si="84"/>
        <v>0</v>
      </c>
      <c r="O204" s="350">
        <f t="shared" si="84"/>
        <v>0</v>
      </c>
      <c r="P204" s="350">
        <f t="shared" si="84"/>
        <v>0</v>
      </c>
      <c r="Q204" s="350">
        <f t="shared" si="84"/>
        <v>0</v>
      </c>
      <c r="R204" s="350">
        <f t="shared" si="84"/>
        <v>0</v>
      </c>
      <c r="S204" s="350">
        <f t="shared" si="84"/>
        <v>0</v>
      </c>
      <c r="T204" s="350">
        <f t="shared" si="84"/>
        <v>0</v>
      </c>
      <c r="U204" s="350">
        <f t="shared" si="84"/>
        <v>0</v>
      </c>
      <c r="V204" s="350">
        <f t="shared" si="84"/>
        <v>0</v>
      </c>
      <c r="W204" s="350">
        <f t="shared" si="84"/>
        <v>0</v>
      </c>
      <c r="X204" s="350">
        <f t="shared" si="84"/>
        <v>0</v>
      </c>
      <c r="Y204" s="350">
        <f t="shared" si="84"/>
        <v>0</v>
      </c>
      <c r="Z204" s="350">
        <f t="shared" si="84"/>
        <v>0</v>
      </c>
      <c r="AA204" s="350">
        <f t="shared" si="84"/>
        <v>0</v>
      </c>
      <c r="AB204" s="350">
        <f t="shared" si="84"/>
        <v>0</v>
      </c>
      <c r="AC204" s="350">
        <f t="shared" si="84"/>
        <v>0</v>
      </c>
      <c r="AD204" s="350">
        <f t="shared" si="84"/>
        <v>0</v>
      </c>
      <c r="AE204" s="350">
        <f t="shared" si="84"/>
        <v>0</v>
      </c>
      <c r="AF204" s="350">
        <f t="shared" si="84"/>
        <v>0</v>
      </c>
      <c r="AG204" s="350">
        <f t="shared" si="84"/>
        <v>0</v>
      </c>
      <c r="AH204" s="350">
        <f t="shared" si="84"/>
        <v>0</v>
      </c>
      <c r="AI204" s="350">
        <f t="shared" si="84"/>
        <v>0</v>
      </c>
      <c r="AJ204" s="350">
        <f t="shared" si="84"/>
        <v>0</v>
      </c>
      <c r="AK204" s="350">
        <f t="shared" si="84"/>
        <v>0</v>
      </c>
      <c r="AL204" s="350">
        <f t="shared" si="84"/>
        <v>0</v>
      </c>
      <c r="AM204" s="350">
        <f t="shared" si="84"/>
        <v>0</v>
      </c>
      <c r="AN204" s="350">
        <f t="shared" si="84"/>
        <v>0</v>
      </c>
      <c r="AO204" s="350">
        <f t="shared" si="84"/>
        <v>0</v>
      </c>
      <c r="AP204" s="350">
        <f t="shared" si="84"/>
        <v>0</v>
      </c>
      <c r="AQ204" s="350">
        <f t="shared" si="84"/>
        <v>0</v>
      </c>
      <c r="AR204" s="350">
        <f t="shared" si="84"/>
        <v>0</v>
      </c>
      <c r="AS204" s="350">
        <f t="shared" si="84"/>
        <v>0</v>
      </c>
      <c r="AT204" s="350">
        <f t="shared" si="84"/>
        <v>0</v>
      </c>
      <c r="AU204" s="350">
        <f t="shared" si="84"/>
        <v>0</v>
      </c>
      <c r="AV204" s="350">
        <f t="shared" si="84"/>
        <v>0</v>
      </c>
      <c r="AW204" s="350">
        <f t="shared" si="84"/>
        <v>0</v>
      </c>
      <c r="AX204" s="350">
        <f t="shared" si="84"/>
        <v>0</v>
      </c>
      <c r="AY204" s="350">
        <f t="shared" si="84"/>
        <v>0</v>
      </c>
      <c r="AZ204" s="350">
        <f t="shared" si="84"/>
        <v>0</v>
      </c>
      <c r="BA204" s="351">
        <f t="shared" si="84"/>
        <v>0</v>
      </c>
    </row>
    <row r="205" spans="1:53" s="246" customFormat="1" outlineLevel="1">
      <c r="A205" s="244"/>
      <c r="B205" s="244"/>
      <c r="C205" s="28"/>
      <c r="D205" s="28"/>
      <c r="E205" s="352" t="s">
        <v>461</v>
      </c>
      <c r="F205" s="350">
        <f>+F26</f>
        <v>529815.71</v>
      </c>
      <c r="G205" s="350">
        <f>+G26</f>
        <v>508206.82</v>
      </c>
      <c r="H205" s="350">
        <f>+H26</f>
        <v>477423.92</v>
      </c>
      <c r="I205" s="350">
        <f>+I26</f>
        <v>479123.18</v>
      </c>
      <c r="J205" s="350">
        <f t="shared" ref="J205:BA205" si="85">+J26</f>
        <v>430321.95</v>
      </c>
      <c r="K205" s="350">
        <f t="shared" si="85"/>
        <v>409548.06</v>
      </c>
      <c r="L205" s="350">
        <f t="shared" si="85"/>
        <v>320000</v>
      </c>
      <c r="M205" s="350">
        <f t="shared" si="85"/>
        <v>281727.40000000002</v>
      </c>
      <c r="N205" s="350">
        <f t="shared" si="85"/>
        <v>350000</v>
      </c>
      <c r="O205" s="350">
        <f t="shared" si="85"/>
        <v>566288</v>
      </c>
      <c r="P205" s="350">
        <f t="shared" si="85"/>
        <v>503844</v>
      </c>
      <c r="Q205" s="350">
        <f t="shared" si="85"/>
        <v>441400</v>
      </c>
      <c r="R205" s="350">
        <f t="shared" si="85"/>
        <v>377600</v>
      </c>
      <c r="S205" s="350">
        <f t="shared" si="85"/>
        <v>313800</v>
      </c>
      <c r="T205" s="350">
        <f t="shared" si="85"/>
        <v>257975</v>
      </c>
      <c r="U205" s="350">
        <f t="shared" si="85"/>
        <v>214125</v>
      </c>
      <c r="V205" s="350">
        <f t="shared" si="85"/>
        <v>176275</v>
      </c>
      <c r="W205" s="350">
        <f t="shared" si="85"/>
        <v>140425</v>
      </c>
      <c r="X205" s="350">
        <f t="shared" si="85"/>
        <v>91875</v>
      </c>
      <c r="Y205" s="350">
        <f t="shared" si="85"/>
        <v>30625</v>
      </c>
      <c r="Z205" s="350">
        <f t="shared" si="85"/>
        <v>0</v>
      </c>
      <c r="AA205" s="350">
        <f t="shared" si="85"/>
        <v>0</v>
      </c>
      <c r="AB205" s="350">
        <f t="shared" si="85"/>
        <v>0</v>
      </c>
      <c r="AC205" s="350">
        <f t="shared" si="85"/>
        <v>0</v>
      </c>
      <c r="AD205" s="350">
        <f t="shared" si="85"/>
        <v>0</v>
      </c>
      <c r="AE205" s="350">
        <f t="shared" si="85"/>
        <v>0</v>
      </c>
      <c r="AF205" s="350">
        <f t="shared" si="85"/>
        <v>0</v>
      </c>
      <c r="AG205" s="350">
        <f t="shared" si="85"/>
        <v>0</v>
      </c>
      <c r="AH205" s="350">
        <f t="shared" si="85"/>
        <v>0</v>
      </c>
      <c r="AI205" s="350">
        <f t="shared" si="85"/>
        <v>0</v>
      </c>
      <c r="AJ205" s="350">
        <f t="shared" si="85"/>
        <v>0</v>
      </c>
      <c r="AK205" s="350">
        <f t="shared" si="85"/>
        <v>0</v>
      </c>
      <c r="AL205" s="350">
        <f t="shared" si="85"/>
        <v>0</v>
      </c>
      <c r="AM205" s="350">
        <f t="shared" si="85"/>
        <v>0</v>
      </c>
      <c r="AN205" s="350">
        <f t="shared" si="85"/>
        <v>0</v>
      </c>
      <c r="AO205" s="350">
        <f t="shared" si="85"/>
        <v>0</v>
      </c>
      <c r="AP205" s="350">
        <f t="shared" si="85"/>
        <v>0</v>
      </c>
      <c r="AQ205" s="350">
        <f t="shared" si="85"/>
        <v>0</v>
      </c>
      <c r="AR205" s="350">
        <f t="shared" si="85"/>
        <v>0</v>
      </c>
      <c r="AS205" s="350">
        <f t="shared" si="85"/>
        <v>0</v>
      </c>
      <c r="AT205" s="350">
        <f t="shared" si="85"/>
        <v>0</v>
      </c>
      <c r="AU205" s="350">
        <f t="shared" si="85"/>
        <v>0</v>
      </c>
      <c r="AV205" s="350">
        <f t="shared" si="85"/>
        <v>0</v>
      </c>
      <c r="AW205" s="350">
        <f t="shared" si="85"/>
        <v>0</v>
      </c>
      <c r="AX205" s="350">
        <f t="shared" si="85"/>
        <v>0</v>
      </c>
      <c r="AY205" s="350">
        <f t="shared" si="85"/>
        <v>0</v>
      </c>
      <c r="AZ205" s="350">
        <f t="shared" si="85"/>
        <v>0</v>
      </c>
      <c r="BA205" s="351">
        <f t="shared" si="85"/>
        <v>0</v>
      </c>
    </row>
    <row r="206" spans="1:53" s="246" customFormat="1" outlineLevel="1">
      <c r="A206" s="244"/>
      <c r="B206" s="244"/>
      <c r="C206" s="28"/>
      <c r="D206" s="28"/>
      <c r="E206" s="354" t="s">
        <v>463</v>
      </c>
      <c r="F206" s="355">
        <f>+ROUND(F201-F202-F203-F204-F205,2)</f>
        <v>6022160.6500000004</v>
      </c>
      <c r="G206" s="355">
        <f>+ROUND(G201-G202-G203-G204-G205,2)</f>
        <v>10410856.5</v>
      </c>
      <c r="H206" s="355">
        <f>+ROUND(H201-H202-H203-H204-H205,2)</f>
        <v>7791231.1299999999</v>
      </c>
      <c r="I206" s="355">
        <f>+ROUND(I201-I202-I203-I204-I205,2)</f>
        <v>13475419</v>
      </c>
      <c r="J206" s="355">
        <f>+ROUND(J201-J202-J203-J204-J205,2)</f>
        <v>21008014.960000001</v>
      </c>
      <c r="K206" s="355">
        <f t="shared" ref="K206:BA206" si="86">+ROUND(K201-K202-K203-K204-K205,2)</f>
        <v>26094663.120000001</v>
      </c>
      <c r="L206" s="355">
        <f t="shared" si="86"/>
        <v>16309988</v>
      </c>
      <c r="M206" s="355">
        <f t="shared" si="86"/>
        <v>28692200.16</v>
      </c>
      <c r="N206" s="355">
        <f t="shared" si="86"/>
        <v>20034888</v>
      </c>
      <c r="O206" s="355">
        <f t="shared" si="86"/>
        <v>22154854</v>
      </c>
      <c r="P206" s="355">
        <f t="shared" si="86"/>
        <v>1030284</v>
      </c>
      <c r="Q206" s="355">
        <f t="shared" si="86"/>
        <v>1613533</v>
      </c>
      <c r="R206" s="355">
        <f t="shared" si="86"/>
        <v>2316905</v>
      </c>
      <c r="S206" s="355">
        <f t="shared" si="86"/>
        <v>2998543</v>
      </c>
      <c r="T206" s="355">
        <f t="shared" si="86"/>
        <v>4146159</v>
      </c>
      <c r="U206" s="355">
        <f t="shared" si="86"/>
        <v>4690393</v>
      </c>
      <c r="V206" s="355">
        <f t="shared" si="86"/>
        <v>5126926</v>
      </c>
      <c r="W206" s="355">
        <f t="shared" si="86"/>
        <v>5514120</v>
      </c>
      <c r="X206" s="355">
        <f t="shared" si="86"/>
        <v>5111826</v>
      </c>
      <c r="Y206" s="355">
        <f t="shared" si="86"/>
        <v>5415107</v>
      </c>
      <c r="Z206" s="355">
        <f t="shared" si="86"/>
        <v>0</v>
      </c>
      <c r="AA206" s="355">
        <f t="shared" si="86"/>
        <v>0</v>
      </c>
      <c r="AB206" s="355">
        <f t="shared" si="86"/>
        <v>0</v>
      </c>
      <c r="AC206" s="355">
        <f t="shared" si="86"/>
        <v>0</v>
      </c>
      <c r="AD206" s="355">
        <f t="shared" si="86"/>
        <v>0</v>
      </c>
      <c r="AE206" s="355">
        <f t="shared" si="86"/>
        <v>0</v>
      </c>
      <c r="AF206" s="355">
        <f t="shared" si="86"/>
        <v>0</v>
      </c>
      <c r="AG206" s="355">
        <f t="shared" si="86"/>
        <v>0</v>
      </c>
      <c r="AH206" s="355">
        <f t="shared" si="86"/>
        <v>0</v>
      </c>
      <c r="AI206" s="355">
        <f t="shared" si="86"/>
        <v>0</v>
      </c>
      <c r="AJ206" s="355">
        <f t="shared" si="86"/>
        <v>0</v>
      </c>
      <c r="AK206" s="355">
        <f t="shared" si="86"/>
        <v>0</v>
      </c>
      <c r="AL206" s="355">
        <f t="shared" si="86"/>
        <v>0</v>
      </c>
      <c r="AM206" s="355">
        <f t="shared" si="86"/>
        <v>0</v>
      </c>
      <c r="AN206" s="355">
        <f t="shared" si="86"/>
        <v>0</v>
      </c>
      <c r="AO206" s="355">
        <f t="shared" si="86"/>
        <v>0</v>
      </c>
      <c r="AP206" s="355">
        <f t="shared" si="86"/>
        <v>0</v>
      </c>
      <c r="AQ206" s="355">
        <f t="shared" si="86"/>
        <v>0</v>
      </c>
      <c r="AR206" s="355">
        <f t="shared" si="86"/>
        <v>0</v>
      </c>
      <c r="AS206" s="355">
        <f t="shared" si="86"/>
        <v>0</v>
      </c>
      <c r="AT206" s="355">
        <f t="shared" si="86"/>
        <v>0</v>
      </c>
      <c r="AU206" s="355">
        <f t="shared" si="86"/>
        <v>0</v>
      </c>
      <c r="AV206" s="355">
        <f t="shared" si="86"/>
        <v>0</v>
      </c>
      <c r="AW206" s="355">
        <f t="shared" si="86"/>
        <v>0</v>
      </c>
      <c r="AX206" s="355">
        <f t="shared" si="86"/>
        <v>0</v>
      </c>
      <c r="AY206" s="355">
        <f t="shared" si="86"/>
        <v>0</v>
      </c>
      <c r="AZ206" s="355">
        <f t="shared" si="86"/>
        <v>0</v>
      </c>
      <c r="BA206" s="356">
        <f t="shared" si="86"/>
        <v>0</v>
      </c>
    </row>
    <row r="207" spans="1:53" s="246" customFormat="1" outlineLevel="1">
      <c r="A207" s="244"/>
      <c r="B207" s="244"/>
      <c r="C207" s="28"/>
      <c r="D207" s="28"/>
      <c r="E207" s="349" t="s">
        <v>466</v>
      </c>
      <c r="F207" s="357">
        <f>+F20</f>
        <v>3604699.15</v>
      </c>
      <c r="G207" s="357">
        <f>+G20</f>
        <v>5978874.0199999996</v>
      </c>
      <c r="H207" s="357">
        <f>+H20</f>
        <v>4170384.96</v>
      </c>
      <c r="I207" s="357">
        <f>+I20</f>
        <v>7938380.8300000001</v>
      </c>
      <c r="J207" s="357">
        <f t="shared" ref="J207:BA207" si="87">+J20</f>
        <v>13399169.75</v>
      </c>
      <c r="K207" s="357">
        <f t="shared" si="87"/>
        <v>14447305.16</v>
      </c>
      <c r="L207" s="357">
        <f t="shared" si="87"/>
        <v>5517814</v>
      </c>
      <c r="M207" s="357">
        <f t="shared" si="87"/>
        <v>7780777.4199999999</v>
      </c>
      <c r="N207" s="357">
        <f t="shared" si="87"/>
        <v>10785085</v>
      </c>
      <c r="O207" s="357">
        <f t="shared" si="87"/>
        <v>22250000</v>
      </c>
      <c r="P207" s="357">
        <f t="shared" si="87"/>
        <v>500000</v>
      </c>
      <c r="Q207" s="357">
        <f t="shared" si="87"/>
        <v>500000</v>
      </c>
      <c r="R207" s="357">
        <f t="shared" si="87"/>
        <v>500000</v>
      </c>
      <c r="S207" s="357">
        <f t="shared" si="87"/>
        <v>500000</v>
      </c>
      <c r="T207" s="357">
        <f t="shared" si="87"/>
        <v>500000</v>
      </c>
      <c r="U207" s="357">
        <f t="shared" si="87"/>
        <v>500000</v>
      </c>
      <c r="V207" s="357">
        <f t="shared" si="87"/>
        <v>500000</v>
      </c>
      <c r="W207" s="357">
        <f t="shared" si="87"/>
        <v>500000</v>
      </c>
      <c r="X207" s="357">
        <f t="shared" si="87"/>
        <v>0</v>
      </c>
      <c r="Y207" s="357">
        <f t="shared" si="87"/>
        <v>0</v>
      </c>
      <c r="Z207" s="357">
        <f t="shared" si="87"/>
        <v>0</v>
      </c>
      <c r="AA207" s="357">
        <f t="shared" si="87"/>
        <v>0</v>
      </c>
      <c r="AB207" s="357">
        <f t="shared" si="87"/>
        <v>0</v>
      </c>
      <c r="AC207" s="357">
        <f t="shared" si="87"/>
        <v>0</v>
      </c>
      <c r="AD207" s="357">
        <f t="shared" si="87"/>
        <v>0</v>
      </c>
      <c r="AE207" s="357">
        <f t="shared" si="87"/>
        <v>0</v>
      </c>
      <c r="AF207" s="357">
        <f t="shared" si="87"/>
        <v>0</v>
      </c>
      <c r="AG207" s="357">
        <f t="shared" si="87"/>
        <v>0</v>
      </c>
      <c r="AH207" s="357">
        <f t="shared" si="87"/>
        <v>0</v>
      </c>
      <c r="AI207" s="357">
        <f t="shared" si="87"/>
        <v>0</v>
      </c>
      <c r="AJ207" s="357">
        <f t="shared" si="87"/>
        <v>0</v>
      </c>
      <c r="AK207" s="357">
        <f t="shared" si="87"/>
        <v>0</v>
      </c>
      <c r="AL207" s="357">
        <f t="shared" si="87"/>
        <v>0</v>
      </c>
      <c r="AM207" s="357">
        <f t="shared" si="87"/>
        <v>0</v>
      </c>
      <c r="AN207" s="357">
        <f t="shared" si="87"/>
        <v>0</v>
      </c>
      <c r="AO207" s="357">
        <f t="shared" si="87"/>
        <v>0</v>
      </c>
      <c r="AP207" s="357">
        <f t="shared" si="87"/>
        <v>0</v>
      </c>
      <c r="AQ207" s="357">
        <f t="shared" si="87"/>
        <v>0</v>
      </c>
      <c r="AR207" s="357">
        <f t="shared" si="87"/>
        <v>0</v>
      </c>
      <c r="AS207" s="357">
        <f t="shared" si="87"/>
        <v>0</v>
      </c>
      <c r="AT207" s="357">
        <f t="shared" si="87"/>
        <v>0</v>
      </c>
      <c r="AU207" s="357">
        <f t="shared" si="87"/>
        <v>0</v>
      </c>
      <c r="AV207" s="357">
        <f t="shared" si="87"/>
        <v>0</v>
      </c>
      <c r="AW207" s="357">
        <f t="shared" si="87"/>
        <v>0</v>
      </c>
      <c r="AX207" s="357">
        <f t="shared" si="87"/>
        <v>0</v>
      </c>
      <c r="AY207" s="357">
        <f t="shared" si="87"/>
        <v>0</v>
      </c>
      <c r="AZ207" s="357">
        <f t="shared" si="87"/>
        <v>0</v>
      </c>
      <c r="BA207" s="358">
        <f t="shared" si="87"/>
        <v>0</v>
      </c>
    </row>
    <row r="208" spans="1:53" s="246" customFormat="1" outlineLevel="1">
      <c r="A208" s="244"/>
      <c r="B208" s="244"/>
      <c r="C208" s="28"/>
      <c r="D208" s="28"/>
      <c r="E208" s="352" t="s">
        <v>570</v>
      </c>
      <c r="F208" s="350">
        <f>+F30-(+F102-F103)</f>
        <v>6770370.9699999997</v>
      </c>
      <c r="G208" s="350">
        <f>+G30-(+G102-G103)</f>
        <v>8428567.9800000004</v>
      </c>
      <c r="H208" s="350">
        <f>+H30-(+H102-H103)</f>
        <v>6638090.5300000003</v>
      </c>
      <c r="I208" s="350">
        <f>+I30-(+I102-I103)</f>
        <v>12699810.439999999</v>
      </c>
      <c r="J208" s="350">
        <f t="shared" ref="J208:BA208" si="88">+J30-(+J102-J103)</f>
        <v>14101467.33</v>
      </c>
      <c r="K208" s="350">
        <f t="shared" si="88"/>
        <v>15388364.119999999</v>
      </c>
      <c r="L208" s="350">
        <f t="shared" si="88"/>
        <v>18219988</v>
      </c>
      <c r="M208" s="350">
        <f t="shared" si="88"/>
        <v>15466635.970000001</v>
      </c>
      <c r="N208" s="350">
        <f t="shared" si="88"/>
        <v>26534888</v>
      </c>
      <c r="O208" s="350">
        <f t="shared" si="88"/>
        <v>23154854</v>
      </c>
      <c r="P208" s="350">
        <f t="shared" si="88"/>
        <v>1030284</v>
      </c>
      <c r="Q208" s="350">
        <f t="shared" si="88"/>
        <v>1613533</v>
      </c>
      <c r="R208" s="350">
        <f t="shared" si="88"/>
        <v>2316905</v>
      </c>
      <c r="S208" s="350">
        <f t="shared" si="88"/>
        <v>2998543</v>
      </c>
      <c r="T208" s="350">
        <f t="shared" si="88"/>
        <v>4146159</v>
      </c>
      <c r="U208" s="350">
        <f t="shared" si="88"/>
        <v>4690393</v>
      </c>
      <c r="V208" s="350">
        <f t="shared" si="88"/>
        <v>5126926</v>
      </c>
      <c r="W208" s="350">
        <f t="shared" si="88"/>
        <v>5514120</v>
      </c>
      <c r="X208" s="350">
        <f t="shared" si="88"/>
        <v>5111826</v>
      </c>
      <c r="Y208" s="350">
        <f t="shared" si="88"/>
        <v>5415107</v>
      </c>
      <c r="Z208" s="350">
        <f t="shared" si="88"/>
        <v>0</v>
      </c>
      <c r="AA208" s="350">
        <f t="shared" si="88"/>
        <v>0</v>
      </c>
      <c r="AB208" s="350">
        <f t="shared" si="88"/>
        <v>0</v>
      </c>
      <c r="AC208" s="350">
        <f t="shared" si="88"/>
        <v>0</v>
      </c>
      <c r="AD208" s="350">
        <f t="shared" si="88"/>
        <v>0</v>
      </c>
      <c r="AE208" s="350">
        <f t="shared" si="88"/>
        <v>0</v>
      </c>
      <c r="AF208" s="350">
        <f t="shared" si="88"/>
        <v>0</v>
      </c>
      <c r="AG208" s="350">
        <f t="shared" si="88"/>
        <v>0</v>
      </c>
      <c r="AH208" s="350">
        <f t="shared" si="88"/>
        <v>0</v>
      </c>
      <c r="AI208" s="350">
        <f t="shared" si="88"/>
        <v>0</v>
      </c>
      <c r="AJ208" s="350">
        <f t="shared" si="88"/>
        <v>0</v>
      </c>
      <c r="AK208" s="350">
        <f t="shared" si="88"/>
        <v>0</v>
      </c>
      <c r="AL208" s="350">
        <f t="shared" si="88"/>
        <v>0</v>
      </c>
      <c r="AM208" s="350">
        <f t="shared" si="88"/>
        <v>0</v>
      </c>
      <c r="AN208" s="350">
        <f t="shared" si="88"/>
        <v>0</v>
      </c>
      <c r="AO208" s="350">
        <f t="shared" si="88"/>
        <v>0</v>
      </c>
      <c r="AP208" s="350">
        <f t="shared" si="88"/>
        <v>0</v>
      </c>
      <c r="AQ208" s="350">
        <f t="shared" si="88"/>
        <v>0</v>
      </c>
      <c r="AR208" s="350">
        <f t="shared" si="88"/>
        <v>0</v>
      </c>
      <c r="AS208" s="350">
        <f t="shared" si="88"/>
        <v>0</v>
      </c>
      <c r="AT208" s="350">
        <f t="shared" si="88"/>
        <v>0</v>
      </c>
      <c r="AU208" s="350">
        <f t="shared" si="88"/>
        <v>0</v>
      </c>
      <c r="AV208" s="350">
        <f t="shared" si="88"/>
        <v>0</v>
      </c>
      <c r="AW208" s="350">
        <f t="shared" si="88"/>
        <v>0</v>
      </c>
      <c r="AX208" s="350">
        <f t="shared" si="88"/>
        <v>0</v>
      </c>
      <c r="AY208" s="350">
        <f t="shared" si="88"/>
        <v>0</v>
      </c>
      <c r="AZ208" s="350">
        <f t="shared" si="88"/>
        <v>0</v>
      </c>
      <c r="BA208" s="351">
        <f t="shared" si="88"/>
        <v>0</v>
      </c>
    </row>
    <row r="209" spans="1:53" s="246" customFormat="1" outlineLevel="1">
      <c r="A209" s="244"/>
      <c r="B209" s="244"/>
      <c r="C209" s="28"/>
      <c r="D209" s="28"/>
      <c r="E209" s="352" t="s">
        <v>457</v>
      </c>
      <c r="F209" s="350">
        <f>+F56</f>
        <v>0</v>
      </c>
      <c r="G209" s="350">
        <f>+G56</f>
        <v>0</v>
      </c>
      <c r="H209" s="350">
        <f>+H56</f>
        <v>0</v>
      </c>
      <c r="I209" s="350">
        <f>+I56</f>
        <v>0</v>
      </c>
      <c r="J209" s="350">
        <f t="shared" ref="J209:BA209" si="89">+J56</f>
        <v>0</v>
      </c>
      <c r="K209" s="350">
        <f t="shared" si="89"/>
        <v>0</v>
      </c>
      <c r="L209" s="350">
        <f t="shared" si="89"/>
        <v>90000</v>
      </c>
      <c r="M209" s="350">
        <f t="shared" si="89"/>
        <v>312000</v>
      </c>
      <c r="N209" s="350">
        <f t="shared" si="89"/>
        <v>0</v>
      </c>
      <c r="O209" s="350">
        <f t="shared" si="89"/>
        <v>0</v>
      </c>
      <c r="P209" s="350">
        <f t="shared" si="89"/>
        <v>0</v>
      </c>
      <c r="Q209" s="350">
        <f t="shared" si="89"/>
        <v>0</v>
      </c>
      <c r="R209" s="350">
        <f t="shared" si="89"/>
        <v>0</v>
      </c>
      <c r="S209" s="350">
        <f t="shared" si="89"/>
        <v>0</v>
      </c>
      <c r="T209" s="350">
        <f t="shared" si="89"/>
        <v>0</v>
      </c>
      <c r="U209" s="350">
        <f t="shared" si="89"/>
        <v>0</v>
      </c>
      <c r="V209" s="350">
        <f t="shared" si="89"/>
        <v>0</v>
      </c>
      <c r="W209" s="350">
        <f t="shared" si="89"/>
        <v>0</v>
      </c>
      <c r="X209" s="350">
        <f t="shared" si="89"/>
        <v>0</v>
      </c>
      <c r="Y209" s="350">
        <f t="shared" si="89"/>
        <v>0</v>
      </c>
      <c r="Z209" s="350">
        <f t="shared" si="89"/>
        <v>0</v>
      </c>
      <c r="AA209" s="350">
        <f t="shared" si="89"/>
        <v>0</v>
      </c>
      <c r="AB209" s="350">
        <f t="shared" si="89"/>
        <v>0</v>
      </c>
      <c r="AC209" s="350">
        <f t="shared" si="89"/>
        <v>0</v>
      </c>
      <c r="AD209" s="350">
        <f t="shared" si="89"/>
        <v>0</v>
      </c>
      <c r="AE209" s="350">
        <f t="shared" si="89"/>
        <v>0</v>
      </c>
      <c r="AF209" s="350">
        <f t="shared" si="89"/>
        <v>0</v>
      </c>
      <c r="AG209" s="350">
        <f t="shared" si="89"/>
        <v>0</v>
      </c>
      <c r="AH209" s="350">
        <f t="shared" si="89"/>
        <v>0</v>
      </c>
      <c r="AI209" s="350">
        <f t="shared" si="89"/>
        <v>0</v>
      </c>
      <c r="AJ209" s="350">
        <f t="shared" si="89"/>
        <v>0</v>
      </c>
      <c r="AK209" s="350">
        <f t="shared" si="89"/>
        <v>0</v>
      </c>
      <c r="AL209" s="350">
        <f t="shared" si="89"/>
        <v>0</v>
      </c>
      <c r="AM209" s="350">
        <f t="shared" si="89"/>
        <v>0</v>
      </c>
      <c r="AN209" s="350">
        <f t="shared" si="89"/>
        <v>0</v>
      </c>
      <c r="AO209" s="350">
        <f t="shared" si="89"/>
        <v>0</v>
      </c>
      <c r="AP209" s="350">
        <f t="shared" si="89"/>
        <v>0</v>
      </c>
      <c r="AQ209" s="350">
        <f t="shared" si="89"/>
        <v>0</v>
      </c>
      <c r="AR209" s="350">
        <f t="shared" si="89"/>
        <v>0</v>
      </c>
      <c r="AS209" s="350">
        <f t="shared" si="89"/>
        <v>0</v>
      </c>
      <c r="AT209" s="350">
        <f t="shared" si="89"/>
        <v>0</v>
      </c>
      <c r="AU209" s="350">
        <f t="shared" si="89"/>
        <v>0</v>
      </c>
      <c r="AV209" s="350">
        <f t="shared" si="89"/>
        <v>0</v>
      </c>
      <c r="AW209" s="350">
        <f t="shared" si="89"/>
        <v>0</v>
      </c>
      <c r="AX209" s="350">
        <f t="shared" si="89"/>
        <v>0</v>
      </c>
      <c r="AY209" s="350">
        <f t="shared" si="89"/>
        <v>0</v>
      </c>
      <c r="AZ209" s="350">
        <f t="shared" si="89"/>
        <v>0</v>
      </c>
      <c r="BA209" s="351">
        <f t="shared" si="89"/>
        <v>0</v>
      </c>
    </row>
    <row r="210" spans="1:53" s="246" customFormat="1" outlineLevel="1">
      <c r="A210" s="244"/>
      <c r="B210" s="244"/>
      <c r="C210" s="28"/>
      <c r="D210" s="28"/>
      <c r="E210" s="354" t="s">
        <v>458</v>
      </c>
      <c r="F210" s="355">
        <f>+ROUND(F206-F208-F209,2)</f>
        <v>-748210.32</v>
      </c>
      <c r="G210" s="355">
        <f>+ROUND(G206-G208-G209,2)</f>
        <v>1982288.52</v>
      </c>
      <c r="H210" s="355">
        <f>+ROUND(H206-H208-H209,2)</f>
        <v>1153140.6000000001</v>
      </c>
      <c r="I210" s="355">
        <f>+ROUND(I206-I208-I209,2)</f>
        <v>775608.56</v>
      </c>
      <c r="J210" s="355">
        <f t="shared" ref="J210:BA210" si="90">+ROUND(J206-J208-J209,2)</f>
        <v>6906547.6299999999</v>
      </c>
      <c r="K210" s="355">
        <f t="shared" si="90"/>
        <v>10706299</v>
      </c>
      <c r="L210" s="355">
        <f t="shared" si="90"/>
        <v>-2000000</v>
      </c>
      <c r="M210" s="355">
        <f t="shared" si="90"/>
        <v>12913564.189999999</v>
      </c>
      <c r="N210" s="355">
        <f t="shared" si="90"/>
        <v>-6500000</v>
      </c>
      <c r="O210" s="355">
        <f t="shared" si="90"/>
        <v>-1000000</v>
      </c>
      <c r="P210" s="355">
        <f t="shared" si="90"/>
        <v>0</v>
      </c>
      <c r="Q210" s="355">
        <f t="shared" si="90"/>
        <v>0</v>
      </c>
      <c r="R210" s="355">
        <f t="shared" si="90"/>
        <v>0</v>
      </c>
      <c r="S210" s="355">
        <f t="shared" si="90"/>
        <v>0</v>
      </c>
      <c r="T210" s="355">
        <f t="shared" si="90"/>
        <v>0</v>
      </c>
      <c r="U210" s="355">
        <f t="shared" si="90"/>
        <v>0</v>
      </c>
      <c r="V210" s="355">
        <f t="shared" si="90"/>
        <v>0</v>
      </c>
      <c r="W210" s="355">
        <f t="shared" si="90"/>
        <v>0</v>
      </c>
      <c r="X210" s="355">
        <f t="shared" si="90"/>
        <v>0</v>
      </c>
      <c r="Y210" s="355">
        <f t="shared" si="90"/>
        <v>0</v>
      </c>
      <c r="Z210" s="355">
        <f t="shared" si="90"/>
        <v>0</v>
      </c>
      <c r="AA210" s="355">
        <f t="shared" si="90"/>
        <v>0</v>
      </c>
      <c r="AB210" s="355">
        <f t="shared" si="90"/>
        <v>0</v>
      </c>
      <c r="AC210" s="355">
        <f t="shared" si="90"/>
        <v>0</v>
      </c>
      <c r="AD210" s="355">
        <f t="shared" si="90"/>
        <v>0</v>
      </c>
      <c r="AE210" s="355">
        <f t="shared" si="90"/>
        <v>0</v>
      </c>
      <c r="AF210" s="355">
        <f t="shared" si="90"/>
        <v>0</v>
      </c>
      <c r="AG210" s="355">
        <f t="shared" si="90"/>
        <v>0</v>
      </c>
      <c r="AH210" s="355">
        <f t="shared" si="90"/>
        <v>0</v>
      </c>
      <c r="AI210" s="355">
        <f t="shared" si="90"/>
        <v>0</v>
      </c>
      <c r="AJ210" s="355">
        <f t="shared" si="90"/>
        <v>0</v>
      </c>
      <c r="AK210" s="355">
        <f t="shared" si="90"/>
        <v>0</v>
      </c>
      <c r="AL210" s="355">
        <f t="shared" si="90"/>
        <v>0</v>
      </c>
      <c r="AM210" s="355">
        <f t="shared" si="90"/>
        <v>0</v>
      </c>
      <c r="AN210" s="355">
        <f t="shared" si="90"/>
        <v>0</v>
      </c>
      <c r="AO210" s="355">
        <f t="shared" si="90"/>
        <v>0</v>
      </c>
      <c r="AP210" s="355">
        <f t="shared" si="90"/>
        <v>0</v>
      </c>
      <c r="AQ210" s="355">
        <f t="shared" si="90"/>
        <v>0</v>
      </c>
      <c r="AR210" s="355">
        <f t="shared" si="90"/>
        <v>0</v>
      </c>
      <c r="AS210" s="355">
        <f t="shared" si="90"/>
        <v>0</v>
      </c>
      <c r="AT210" s="355">
        <f t="shared" si="90"/>
        <v>0</v>
      </c>
      <c r="AU210" s="355">
        <f t="shared" si="90"/>
        <v>0</v>
      </c>
      <c r="AV210" s="355">
        <f t="shared" si="90"/>
        <v>0</v>
      </c>
      <c r="AW210" s="355">
        <f t="shared" si="90"/>
        <v>0</v>
      </c>
      <c r="AX210" s="355">
        <f t="shared" si="90"/>
        <v>0</v>
      </c>
      <c r="AY210" s="355">
        <f t="shared" si="90"/>
        <v>0</v>
      </c>
      <c r="AZ210" s="355">
        <f t="shared" si="90"/>
        <v>0</v>
      </c>
      <c r="BA210" s="356">
        <f t="shared" si="90"/>
        <v>0</v>
      </c>
    </row>
    <row r="211" spans="1:53" s="246" customFormat="1" outlineLevel="1">
      <c r="A211" s="244"/>
      <c r="B211" s="244"/>
      <c r="C211" s="28"/>
      <c r="D211" s="28"/>
      <c r="E211" s="353" t="s">
        <v>459</v>
      </c>
      <c r="F211" s="350">
        <f>+F36</f>
        <v>0</v>
      </c>
      <c r="G211" s="350">
        <f>+G36</f>
        <v>0</v>
      </c>
      <c r="H211" s="350">
        <f>+H36</f>
        <v>0</v>
      </c>
      <c r="I211" s="350">
        <f>+I36</f>
        <v>0</v>
      </c>
      <c r="J211" s="350">
        <f t="shared" ref="J211:BA211" si="91">+J36</f>
        <v>0</v>
      </c>
      <c r="K211" s="350">
        <f t="shared" si="91"/>
        <v>0</v>
      </c>
      <c r="L211" s="350">
        <f t="shared" si="91"/>
        <v>2000000</v>
      </c>
      <c r="M211" s="350">
        <f t="shared" si="91"/>
        <v>2000000</v>
      </c>
      <c r="N211" s="350">
        <f t="shared" si="91"/>
        <v>6500000</v>
      </c>
      <c r="O211" s="350">
        <f t="shared" si="91"/>
        <v>1000000</v>
      </c>
      <c r="P211" s="350">
        <f t="shared" si="91"/>
        <v>0</v>
      </c>
      <c r="Q211" s="350">
        <f t="shared" si="91"/>
        <v>0</v>
      </c>
      <c r="R211" s="350">
        <f t="shared" si="91"/>
        <v>0</v>
      </c>
      <c r="S211" s="350">
        <f t="shared" si="91"/>
        <v>0</v>
      </c>
      <c r="T211" s="350">
        <f t="shared" si="91"/>
        <v>0</v>
      </c>
      <c r="U211" s="350">
        <f t="shared" si="91"/>
        <v>0</v>
      </c>
      <c r="V211" s="350">
        <f t="shared" si="91"/>
        <v>0</v>
      </c>
      <c r="W211" s="350">
        <f t="shared" si="91"/>
        <v>0</v>
      </c>
      <c r="X211" s="350">
        <f t="shared" si="91"/>
        <v>0</v>
      </c>
      <c r="Y211" s="350">
        <f t="shared" si="91"/>
        <v>0</v>
      </c>
      <c r="Z211" s="350">
        <f t="shared" si="91"/>
        <v>0</v>
      </c>
      <c r="AA211" s="350">
        <f t="shared" si="91"/>
        <v>0</v>
      </c>
      <c r="AB211" s="350">
        <f t="shared" si="91"/>
        <v>0</v>
      </c>
      <c r="AC211" s="350">
        <f t="shared" si="91"/>
        <v>0</v>
      </c>
      <c r="AD211" s="350">
        <f t="shared" si="91"/>
        <v>0</v>
      </c>
      <c r="AE211" s="350">
        <f t="shared" si="91"/>
        <v>0</v>
      </c>
      <c r="AF211" s="350">
        <f t="shared" si="91"/>
        <v>0</v>
      </c>
      <c r="AG211" s="350">
        <f t="shared" si="91"/>
        <v>0</v>
      </c>
      <c r="AH211" s="350">
        <f t="shared" si="91"/>
        <v>0</v>
      </c>
      <c r="AI211" s="350">
        <f t="shared" si="91"/>
        <v>0</v>
      </c>
      <c r="AJ211" s="350">
        <f t="shared" si="91"/>
        <v>0</v>
      </c>
      <c r="AK211" s="350">
        <f t="shared" si="91"/>
        <v>0</v>
      </c>
      <c r="AL211" s="350">
        <f t="shared" si="91"/>
        <v>0</v>
      </c>
      <c r="AM211" s="350">
        <f t="shared" si="91"/>
        <v>0</v>
      </c>
      <c r="AN211" s="350">
        <f t="shared" si="91"/>
        <v>0</v>
      </c>
      <c r="AO211" s="350">
        <f t="shared" si="91"/>
        <v>0</v>
      </c>
      <c r="AP211" s="350">
        <f t="shared" si="91"/>
        <v>0</v>
      </c>
      <c r="AQ211" s="350">
        <f t="shared" si="91"/>
        <v>0</v>
      </c>
      <c r="AR211" s="350">
        <f t="shared" si="91"/>
        <v>0</v>
      </c>
      <c r="AS211" s="350">
        <f t="shared" si="91"/>
        <v>0</v>
      </c>
      <c r="AT211" s="350">
        <f t="shared" si="91"/>
        <v>0</v>
      </c>
      <c r="AU211" s="350">
        <f t="shared" si="91"/>
        <v>0</v>
      </c>
      <c r="AV211" s="350">
        <f t="shared" si="91"/>
        <v>0</v>
      </c>
      <c r="AW211" s="350">
        <f t="shared" si="91"/>
        <v>0</v>
      </c>
      <c r="AX211" s="350">
        <f t="shared" si="91"/>
        <v>0</v>
      </c>
      <c r="AY211" s="350">
        <f t="shared" si="91"/>
        <v>0</v>
      </c>
      <c r="AZ211" s="350">
        <f t="shared" si="91"/>
        <v>0</v>
      </c>
      <c r="BA211" s="351">
        <f t="shared" si="91"/>
        <v>0</v>
      </c>
    </row>
    <row r="212" spans="1:53" s="246" customFormat="1" outlineLevel="1">
      <c r="A212" s="244"/>
      <c r="B212" s="244"/>
      <c r="C212" s="28"/>
      <c r="D212" s="28"/>
      <c r="E212" s="359" t="s">
        <v>460</v>
      </c>
      <c r="F212" s="360">
        <f>+ROUND(F210+F211,2)</f>
        <v>-748210.32</v>
      </c>
      <c r="G212" s="360">
        <f>+ROUND(G210+G211,2)</f>
        <v>1982288.52</v>
      </c>
      <c r="H212" s="360">
        <f>+ROUND(H210+H211,2)</f>
        <v>1153140.6000000001</v>
      </c>
      <c r="I212" s="360">
        <f>+ROUND(I210+I211,2)</f>
        <v>775608.56</v>
      </c>
      <c r="J212" s="360">
        <f t="shared" ref="J212:BA212" si="92">+ROUND(J210+J211,2)</f>
        <v>6906547.6299999999</v>
      </c>
      <c r="K212" s="360">
        <f t="shared" si="92"/>
        <v>10706299</v>
      </c>
      <c r="L212" s="360">
        <f t="shared" si="92"/>
        <v>0</v>
      </c>
      <c r="M212" s="360">
        <f t="shared" si="92"/>
        <v>14913564.189999999</v>
      </c>
      <c r="N212" s="360">
        <f t="shared" si="92"/>
        <v>0</v>
      </c>
      <c r="O212" s="360">
        <f t="shared" si="92"/>
        <v>0</v>
      </c>
      <c r="P212" s="360">
        <f t="shared" si="92"/>
        <v>0</v>
      </c>
      <c r="Q212" s="360">
        <f t="shared" si="92"/>
        <v>0</v>
      </c>
      <c r="R212" s="360">
        <f t="shared" si="92"/>
        <v>0</v>
      </c>
      <c r="S212" s="360">
        <f t="shared" si="92"/>
        <v>0</v>
      </c>
      <c r="T212" s="360">
        <f t="shared" si="92"/>
        <v>0</v>
      </c>
      <c r="U212" s="360">
        <f t="shared" si="92"/>
        <v>0</v>
      </c>
      <c r="V212" s="360">
        <f t="shared" si="92"/>
        <v>0</v>
      </c>
      <c r="W212" s="360">
        <f t="shared" si="92"/>
        <v>0</v>
      </c>
      <c r="X212" s="360">
        <f t="shared" si="92"/>
        <v>0</v>
      </c>
      <c r="Y212" s="360">
        <f t="shared" si="92"/>
        <v>0</v>
      </c>
      <c r="Z212" s="360">
        <f t="shared" si="92"/>
        <v>0</v>
      </c>
      <c r="AA212" s="360">
        <f t="shared" si="92"/>
        <v>0</v>
      </c>
      <c r="AB212" s="360">
        <f t="shared" si="92"/>
        <v>0</v>
      </c>
      <c r="AC212" s="360">
        <f t="shared" si="92"/>
        <v>0</v>
      </c>
      <c r="AD212" s="360">
        <f t="shared" si="92"/>
        <v>0</v>
      </c>
      <c r="AE212" s="360">
        <f t="shared" si="92"/>
        <v>0</v>
      </c>
      <c r="AF212" s="360">
        <f t="shared" si="92"/>
        <v>0</v>
      </c>
      <c r="AG212" s="360">
        <f t="shared" si="92"/>
        <v>0</v>
      </c>
      <c r="AH212" s="360">
        <f t="shared" si="92"/>
        <v>0</v>
      </c>
      <c r="AI212" s="360">
        <f t="shared" si="92"/>
        <v>0</v>
      </c>
      <c r="AJ212" s="360">
        <f t="shared" si="92"/>
        <v>0</v>
      </c>
      <c r="AK212" s="360">
        <f t="shared" si="92"/>
        <v>0</v>
      </c>
      <c r="AL212" s="360">
        <f t="shared" si="92"/>
        <v>0</v>
      </c>
      <c r="AM212" s="360">
        <f t="shared" si="92"/>
        <v>0</v>
      </c>
      <c r="AN212" s="360">
        <f t="shared" si="92"/>
        <v>0</v>
      </c>
      <c r="AO212" s="360">
        <f t="shared" si="92"/>
        <v>0</v>
      </c>
      <c r="AP212" s="360">
        <f t="shared" si="92"/>
        <v>0</v>
      </c>
      <c r="AQ212" s="360">
        <f t="shared" si="92"/>
        <v>0</v>
      </c>
      <c r="AR212" s="360">
        <f t="shared" si="92"/>
        <v>0</v>
      </c>
      <c r="AS212" s="360">
        <f t="shared" si="92"/>
        <v>0</v>
      </c>
      <c r="AT212" s="360">
        <f t="shared" si="92"/>
        <v>0</v>
      </c>
      <c r="AU212" s="360">
        <f t="shared" si="92"/>
        <v>0</v>
      </c>
      <c r="AV212" s="360">
        <f t="shared" si="92"/>
        <v>0</v>
      </c>
      <c r="AW212" s="360">
        <f t="shared" si="92"/>
        <v>0</v>
      </c>
      <c r="AX212" s="360">
        <f t="shared" si="92"/>
        <v>0</v>
      </c>
      <c r="AY212" s="360">
        <f t="shared" si="92"/>
        <v>0</v>
      </c>
      <c r="AZ212" s="360">
        <f t="shared" si="92"/>
        <v>0</v>
      </c>
      <c r="BA212" s="361">
        <f t="shared" si="92"/>
        <v>0</v>
      </c>
    </row>
    <row r="213" spans="1:53" s="246" customFormat="1">
      <c r="A213" s="244"/>
      <c r="B213" s="244"/>
      <c r="C213" s="28"/>
      <c r="D213" s="28"/>
      <c r="E213" s="362"/>
      <c r="F213" s="362"/>
      <c r="G213" s="362"/>
      <c r="H213" s="362"/>
      <c r="I213" s="362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  <c r="AR213" s="363"/>
      <c r="AS213" s="363"/>
      <c r="AT213" s="363"/>
      <c r="AU213" s="363"/>
      <c r="AV213" s="363"/>
      <c r="AW213" s="363"/>
      <c r="AX213" s="363"/>
      <c r="AY213" s="363"/>
      <c r="AZ213" s="363"/>
      <c r="BA213" s="364"/>
    </row>
    <row r="214" spans="1:53" s="246" customFormat="1" ht="15">
      <c r="A214" s="244"/>
      <c r="B214" s="244"/>
      <c r="C214" s="28"/>
      <c r="D214" s="28"/>
      <c r="E214" s="224" t="s">
        <v>602</v>
      </c>
      <c r="F214" s="224"/>
      <c r="G214" s="224"/>
      <c r="H214" s="224"/>
      <c r="I214" s="224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  <c r="X214" s="363"/>
      <c r="Y214" s="363"/>
      <c r="Z214" s="363"/>
      <c r="AA214" s="363"/>
      <c r="AB214" s="363"/>
      <c r="AC214" s="363"/>
      <c r="AD214" s="363"/>
      <c r="AE214" s="363"/>
      <c r="AF214" s="363"/>
      <c r="AG214" s="363"/>
      <c r="AH214" s="363"/>
      <c r="AI214" s="363"/>
      <c r="AJ214" s="363"/>
      <c r="AK214" s="363"/>
      <c r="AL214" s="363"/>
      <c r="AM214" s="363"/>
      <c r="AN214" s="363"/>
      <c r="AO214" s="363"/>
      <c r="AP214" s="363"/>
      <c r="AQ214" s="363"/>
      <c r="AR214" s="363"/>
      <c r="AS214" s="363"/>
      <c r="AT214" s="363"/>
      <c r="AU214" s="363"/>
      <c r="AV214" s="363"/>
      <c r="AW214" s="363"/>
      <c r="AX214" s="363"/>
      <c r="AY214" s="363"/>
      <c r="AZ214" s="363"/>
      <c r="BA214" s="363"/>
    </row>
    <row r="215" spans="1:53" s="246" customFormat="1" outlineLevel="1">
      <c r="A215" s="244"/>
      <c r="B215" s="244"/>
      <c r="C215" s="28"/>
      <c r="D215" s="28"/>
      <c r="E215" s="365" t="s">
        <v>603</v>
      </c>
      <c r="F215" s="147">
        <f t="shared" ref="F215:BA215" si="93">+F$9</f>
        <v>2015</v>
      </c>
      <c r="G215" s="147">
        <f t="shared" si="93"/>
        <v>2016</v>
      </c>
      <c r="H215" s="147">
        <f t="shared" si="93"/>
        <v>2017</v>
      </c>
      <c r="I215" s="147">
        <f t="shared" si="93"/>
        <v>2018</v>
      </c>
      <c r="J215" s="147">
        <f t="shared" si="93"/>
        <v>2019</v>
      </c>
      <c r="K215" s="148">
        <f t="shared" si="93"/>
        <v>2020</v>
      </c>
      <c r="L215" s="148">
        <f t="shared" si="93"/>
        <v>2021</v>
      </c>
      <c r="M215" s="149">
        <f t="shared" si="93"/>
        <v>2021</v>
      </c>
      <c r="N215" s="150">
        <f t="shared" si="93"/>
        <v>2022</v>
      </c>
      <c r="O215" s="151">
        <f t="shared" si="93"/>
        <v>2023</v>
      </c>
      <c r="P215" s="151">
        <f t="shared" si="93"/>
        <v>2024</v>
      </c>
      <c r="Q215" s="151">
        <f t="shared" si="93"/>
        <v>2025</v>
      </c>
      <c r="R215" s="151">
        <f t="shared" si="93"/>
        <v>2026</v>
      </c>
      <c r="S215" s="151">
        <f t="shared" si="93"/>
        <v>2027</v>
      </c>
      <c r="T215" s="151">
        <f t="shared" si="93"/>
        <v>2028</v>
      </c>
      <c r="U215" s="151">
        <f t="shared" si="93"/>
        <v>2029</v>
      </c>
      <c r="V215" s="151">
        <f t="shared" si="93"/>
        <v>2030</v>
      </c>
      <c r="W215" s="151">
        <f t="shared" si="93"/>
        <v>2031</v>
      </c>
      <c r="X215" s="151">
        <f t="shared" si="93"/>
        <v>2032</v>
      </c>
      <c r="Y215" s="151">
        <f t="shared" si="93"/>
        <v>2033</v>
      </c>
      <c r="Z215" s="151">
        <f t="shared" si="93"/>
        <v>2034</v>
      </c>
      <c r="AA215" s="151">
        <f t="shared" si="93"/>
        <v>2035</v>
      </c>
      <c r="AB215" s="151">
        <f t="shared" si="93"/>
        <v>2036</v>
      </c>
      <c r="AC215" s="151">
        <f t="shared" si="93"/>
        <v>2037</v>
      </c>
      <c r="AD215" s="151">
        <f t="shared" si="93"/>
        <v>2038</v>
      </c>
      <c r="AE215" s="151">
        <f t="shared" si="93"/>
        <v>2039</v>
      </c>
      <c r="AF215" s="151">
        <f t="shared" si="93"/>
        <v>2040</v>
      </c>
      <c r="AG215" s="151">
        <f t="shared" si="93"/>
        <v>2041</v>
      </c>
      <c r="AH215" s="151">
        <f t="shared" si="93"/>
        <v>2042</v>
      </c>
      <c r="AI215" s="151">
        <f t="shared" si="93"/>
        <v>2043</v>
      </c>
      <c r="AJ215" s="151">
        <f t="shared" si="93"/>
        <v>2044</v>
      </c>
      <c r="AK215" s="151">
        <f t="shared" si="93"/>
        <v>2045</v>
      </c>
      <c r="AL215" s="151">
        <f t="shared" si="93"/>
        <v>2046</v>
      </c>
      <c r="AM215" s="151">
        <f t="shared" si="93"/>
        <v>2047</v>
      </c>
      <c r="AN215" s="151">
        <f t="shared" si="93"/>
        <v>2048</v>
      </c>
      <c r="AO215" s="151">
        <f t="shared" si="93"/>
        <v>2049</v>
      </c>
      <c r="AP215" s="151">
        <f t="shared" si="93"/>
        <v>2050</v>
      </c>
      <c r="AQ215" s="151">
        <f t="shared" si="93"/>
        <v>2051</v>
      </c>
      <c r="AR215" s="151">
        <f t="shared" si="93"/>
        <v>2052</v>
      </c>
      <c r="AS215" s="151">
        <f t="shared" si="93"/>
        <v>2053</v>
      </c>
      <c r="AT215" s="151">
        <f t="shared" si="93"/>
        <v>2054</v>
      </c>
      <c r="AU215" s="151">
        <f t="shared" si="93"/>
        <v>2055</v>
      </c>
      <c r="AV215" s="151">
        <f t="shared" si="93"/>
        <v>2056</v>
      </c>
      <c r="AW215" s="151">
        <f t="shared" si="93"/>
        <v>2057</v>
      </c>
      <c r="AX215" s="151">
        <f t="shared" si="93"/>
        <v>2058</v>
      </c>
      <c r="AY215" s="151">
        <f t="shared" si="93"/>
        <v>2059</v>
      </c>
      <c r="AZ215" s="151">
        <f t="shared" si="93"/>
        <v>2060</v>
      </c>
      <c r="BA215" s="484">
        <f t="shared" si="93"/>
        <v>2061</v>
      </c>
    </row>
    <row r="216" spans="1:53" s="246" customFormat="1" outlineLevel="1">
      <c r="A216" s="244"/>
      <c r="B216" s="244"/>
      <c r="C216" s="28"/>
      <c r="D216" s="28"/>
      <c r="E216" s="366" t="s">
        <v>604</v>
      </c>
      <c r="F216" s="367">
        <f>+F10-F21</f>
        <v>-748210.3200000003</v>
      </c>
      <c r="G216" s="367">
        <f>+G10-G21</f>
        <v>1982288.5199999958</v>
      </c>
      <c r="H216" s="367">
        <f>+H10-H21</f>
        <v>1153140.6000000015</v>
      </c>
      <c r="I216" s="367">
        <f>+I10-I21</f>
        <v>775608.55999999493</v>
      </c>
      <c r="J216" s="367">
        <f t="shared" ref="J216:BA216" si="94">+J10-J21</f>
        <v>5207119.07</v>
      </c>
      <c r="K216" s="367">
        <f t="shared" si="94"/>
        <v>3799751.3699999973</v>
      </c>
      <c r="L216" s="367">
        <f t="shared" si="94"/>
        <v>-10500000</v>
      </c>
      <c r="M216" s="367">
        <f t="shared" si="94"/>
        <v>4594091.3500000015</v>
      </c>
      <c r="N216" s="367">
        <f t="shared" si="94"/>
        <v>-14662538</v>
      </c>
      <c r="O216" s="367">
        <f t="shared" si="94"/>
        <v>1000000</v>
      </c>
      <c r="P216" s="367">
        <f t="shared" si="94"/>
        <v>1915000</v>
      </c>
      <c r="Q216" s="367">
        <f t="shared" si="94"/>
        <v>2000000</v>
      </c>
      <c r="R216" s="367">
        <f t="shared" si="94"/>
        <v>2000000</v>
      </c>
      <c r="S216" s="367">
        <f t="shared" si="94"/>
        <v>2000000</v>
      </c>
      <c r="T216" s="367">
        <f t="shared" si="94"/>
        <v>1500000</v>
      </c>
      <c r="U216" s="367">
        <f t="shared" si="94"/>
        <v>1500000</v>
      </c>
      <c r="V216" s="367">
        <f t="shared" si="94"/>
        <v>1500000</v>
      </c>
      <c r="W216" s="367">
        <f t="shared" si="94"/>
        <v>1500000</v>
      </c>
      <c r="X216" s="367">
        <f t="shared" si="94"/>
        <v>1750000</v>
      </c>
      <c r="Y216" s="367">
        <f t="shared" si="94"/>
        <v>1750000</v>
      </c>
      <c r="Z216" s="367">
        <f t="shared" si="94"/>
        <v>0</v>
      </c>
      <c r="AA216" s="367">
        <f t="shared" si="94"/>
        <v>0</v>
      </c>
      <c r="AB216" s="367">
        <f t="shared" si="94"/>
        <v>0</v>
      </c>
      <c r="AC216" s="367">
        <f t="shared" si="94"/>
        <v>0</v>
      </c>
      <c r="AD216" s="367">
        <f t="shared" si="94"/>
        <v>0</v>
      </c>
      <c r="AE216" s="367">
        <f t="shared" si="94"/>
        <v>0</v>
      </c>
      <c r="AF216" s="367">
        <f t="shared" si="94"/>
        <v>0</v>
      </c>
      <c r="AG216" s="367">
        <f t="shared" si="94"/>
        <v>0</v>
      </c>
      <c r="AH216" s="367">
        <f t="shared" si="94"/>
        <v>0</v>
      </c>
      <c r="AI216" s="367">
        <f t="shared" si="94"/>
        <v>0</v>
      </c>
      <c r="AJ216" s="367">
        <f t="shared" si="94"/>
        <v>0</v>
      </c>
      <c r="AK216" s="367">
        <f t="shared" si="94"/>
        <v>0</v>
      </c>
      <c r="AL216" s="367">
        <f t="shared" si="94"/>
        <v>0</v>
      </c>
      <c r="AM216" s="367">
        <f t="shared" si="94"/>
        <v>0</v>
      </c>
      <c r="AN216" s="367">
        <f t="shared" si="94"/>
        <v>0</v>
      </c>
      <c r="AO216" s="367">
        <f t="shared" si="94"/>
        <v>0</v>
      </c>
      <c r="AP216" s="367">
        <f t="shared" si="94"/>
        <v>0</v>
      </c>
      <c r="AQ216" s="367">
        <f t="shared" si="94"/>
        <v>0</v>
      </c>
      <c r="AR216" s="367">
        <f t="shared" si="94"/>
        <v>0</v>
      </c>
      <c r="AS216" s="367">
        <f t="shared" si="94"/>
        <v>0</v>
      </c>
      <c r="AT216" s="367">
        <f t="shared" si="94"/>
        <v>0</v>
      </c>
      <c r="AU216" s="367">
        <f t="shared" si="94"/>
        <v>0</v>
      </c>
      <c r="AV216" s="367">
        <f t="shared" si="94"/>
        <v>0</v>
      </c>
      <c r="AW216" s="367">
        <f t="shared" si="94"/>
        <v>0</v>
      </c>
      <c r="AX216" s="367">
        <f t="shared" si="94"/>
        <v>0</v>
      </c>
      <c r="AY216" s="367">
        <f t="shared" si="94"/>
        <v>0</v>
      </c>
      <c r="AZ216" s="367">
        <f t="shared" si="94"/>
        <v>0</v>
      </c>
      <c r="BA216" s="368">
        <f t="shared" si="94"/>
        <v>0</v>
      </c>
    </row>
    <row r="217" spans="1:53" s="246" customFormat="1" outlineLevel="1">
      <c r="A217" s="244"/>
      <c r="B217" s="244"/>
      <c r="C217" s="28"/>
      <c r="D217" s="28"/>
      <c r="E217" s="369" t="s">
        <v>605</v>
      </c>
      <c r="F217" s="357">
        <f>+F35-F46</f>
        <v>0</v>
      </c>
      <c r="G217" s="357">
        <f>+G35-G46</f>
        <v>0</v>
      </c>
      <c r="H217" s="357">
        <f>+H35-H46</f>
        <v>0</v>
      </c>
      <c r="I217" s="357">
        <f>+I35-I46</f>
        <v>0</v>
      </c>
      <c r="J217" s="357">
        <f t="shared" ref="J217:BA217" si="95">+J35-J46</f>
        <v>1699428.56</v>
      </c>
      <c r="K217" s="357">
        <f t="shared" si="95"/>
        <v>6906547.6299999999</v>
      </c>
      <c r="L217" s="357">
        <f t="shared" si="95"/>
        <v>10500000</v>
      </c>
      <c r="M217" s="357">
        <f t="shared" si="95"/>
        <v>10319472.84</v>
      </c>
      <c r="N217" s="357">
        <f t="shared" si="95"/>
        <v>14662538</v>
      </c>
      <c r="O217" s="357">
        <f t="shared" si="95"/>
        <v>-1000000</v>
      </c>
      <c r="P217" s="357">
        <f t="shared" si="95"/>
        <v>-1915000</v>
      </c>
      <c r="Q217" s="357">
        <f t="shared" si="95"/>
        <v>-2000000</v>
      </c>
      <c r="R217" s="357">
        <f t="shared" si="95"/>
        <v>-2000000</v>
      </c>
      <c r="S217" s="357">
        <f t="shared" si="95"/>
        <v>-2000000</v>
      </c>
      <c r="T217" s="357">
        <f t="shared" si="95"/>
        <v>-1500000</v>
      </c>
      <c r="U217" s="357">
        <f t="shared" si="95"/>
        <v>-1500000</v>
      </c>
      <c r="V217" s="357">
        <f t="shared" si="95"/>
        <v>-1500000</v>
      </c>
      <c r="W217" s="357">
        <f t="shared" si="95"/>
        <v>-1500000</v>
      </c>
      <c r="X217" s="357">
        <f t="shared" si="95"/>
        <v>-1750000</v>
      </c>
      <c r="Y217" s="357">
        <f t="shared" si="95"/>
        <v>-1750000</v>
      </c>
      <c r="Z217" s="357">
        <f t="shared" si="95"/>
        <v>0</v>
      </c>
      <c r="AA217" s="357">
        <f t="shared" si="95"/>
        <v>0</v>
      </c>
      <c r="AB217" s="357">
        <f t="shared" si="95"/>
        <v>0</v>
      </c>
      <c r="AC217" s="357">
        <f t="shared" si="95"/>
        <v>0</v>
      </c>
      <c r="AD217" s="357">
        <f t="shared" si="95"/>
        <v>0</v>
      </c>
      <c r="AE217" s="357">
        <f t="shared" si="95"/>
        <v>0</v>
      </c>
      <c r="AF217" s="357">
        <f t="shared" si="95"/>
        <v>0</v>
      </c>
      <c r="AG217" s="357">
        <f t="shared" si="95"/>
        <v>0</v>
      </c>
      <c r="AH217" s="357">
        <f t="shared" si="95"/>
        <v>0</v>
      </c>
      <c r="AI217" s="357">
        <f t="shared" si="95"/>
        <v>0</v>
      </c>
      <c r="AJ217" s="357">
        <f t="shared" si="95"/>
        <v>0</v>
      </c>
      <c r="AK217" s="357">
        <f t="shared" si="95"/>
        <v>0</v>
      </c>
      <c r="AL217" s="357">
        <f t="shared" si="95"/>
        <v>0</v>
      </c>
      <c r="AM217" s="357">
        <f t="shared" si="95"/>
        <v>0</v>
      </c>
      <c r="AN217" s="357">
        <f t="shared" si="95"/>
        <v>0</v>
      </c>
      <c r="AO217" s="357">
        <f t="shared" si="95"/>
        <v>0</v>
      </c>
      <c r="AP217" s="357">
        <f t="shared" si="95"/>
        <v>0</v>
      </c>
      <c r="AQ217" s="357">
        <f t="shared" si="95"/>
        <v>0</v>
      </c>
      <c r="AR217" s="357">
        <f t="shared" si="95"/>
        <v>0</v>
      </c>
      <c r="AS217" s="357">
        <f t="shared" si="95"/>
        <v>0</v>
      </c>
      <c r="AT217" s="357">
        <f t="shared" si="95"/>
        <v>0</v>
      </c>
      <c r="AU217" s="357">
        <f t="shared" si="95"/>
        <v>0</v>
      </c>
      <c r="AV217" s="357">
        <f t="shared" si="95"/>
        <v>0</v>
      </c>
      <c r="AW217" s="357">
        <f t="shared" si="95"/>
        <v>0</v>
      </c>
      <c r="AX217" s="357">
        <f t="shared" si="95"/>
        <v>0</v>
      </c>
      <c r="AY217" s="357">
        <f t="shared" si="95"/>
        <v>0</v>
      </c>
      <c r="AZ217" s="357">
        <f t="shared" si="95"/>
        <v>0</v>
      </c>
      <c r="BA217" s="358">
        <f t="shared" si="95"/>
        <v>0</v>
      </c>
    </row>
    <row r="218" spans="1:53" s="246" customFormat="1" outlineLevel="1">
      <c r="A218" s="244"/>
      <c r="B218" s="244"/>
      <c r="C218" s="28"/>
      <c r="D218" s="28"/>
      <c r="E218" s="369" t="s">
        <v>606</v>
      </c>
      <c r="F218" s="357">
        <f>+F10-F21+F35-F46</f>
        <v>-748210.3200000003</v>
      </c>
      <c r="G218" s="357">
        <f>+G10-G21+G35-G46</f>
        <v>1982288.5199999958</v>
      </c>
      <c r="H218" s="357">
        <f>+H10-H21+H35-H46</f>
        <v>1153140.6000000015</v>
      </c>
      <c r="I218" s="357">
        <f>+I10-I21+I35-I46</f>
        <v>775608.55999999493</v>
      </c>
      <c r="J218" s="357">
        <f t="shared" ref="J218:BA218" si="96">+J10-J21+J35-J46</f>
        <v>6906547.6300000008</v>
      </c>
      <c r="K218" s="357">
        <f t="shared" si="96"/>
        <v>10706298.999999996</v>
      </c>
      <c r="L218" s="357">
        <f t="shared" si="96"/>
        <v>0</v>
      </c>
      <c r="M218" s="357">
        <f t="shared" si="96"/>
        <v>14913564.190000001</v>
      </c>
      <c r="N218" s="357">
        <f t="shared" si="96"/>
        <v>0</v>
      </c>
      <c r="O218" s="357">
        <f t="shared" si="96"/>
        <v>0</v>
      </c>
      <c r="P218" s="357">
        <f t="shared" si="96"/>
        <v>0</v>
      </c>
      <c r="Q218" s="357">
        <f t="shared" si="96"/>
        <v>0</v>
      </c>
      <c r="R218" s="357">
        <f t="shared" si="96"/>
        <v>0</v>
      </c>
      <c r="S218" s="357">
        <f t="shared" si="96"/>
        <v>0</v>
      </c>
      <c r="T218" s="357">
        <f t="shared" si="96"/>
        <v>0</v>
      </c>
      <c r="U218" s="357">
        <f t="shared" si="96"/>
        <v>0</v>
      </c>
      <c r="V218" s="357">
        <f t="shared" si="96"/>
        <v>0</v>
      </c>
      <c r="W218" s="357">
        <f t="shared" si="96"/>
        <v>0</v>
      </c>
      <c r="X218" s="357">
        <f t="shared" si="96"/>
        <v>0</v>
      </c>
      <c r="Y218" s="357">
        <f t="shared" si="96"/>
        <v>0</v>
      </c>
      <c r="Z218" s="357">
        <f t="shared" si="96"/>
        <v>0</v>
      </c>
      <c r="AA218" s="357">
        <f t="shared" si="96"/>
        <v>0</v>
      </c>
      <c r="AB218" s="357">
        <f t="shared" si="96"/>
        <v>0</v>
      </c>
      <c r="AC218" s="357">
        <f t="shared" si="96"/>
        <v>0</v>
      </c>
      <c r="AD218" s="357">
        <f t="shared" si="96"/>
        <v>0</v>
      </c>
      <c r="AE218" s="357">
        <f t="shared" si="96"/>
        <v>0</v>
      </c>
      <c r="AF218" s="357">
        <f t="shared" si="96"/>
        <v>0</v>
      </c>
      <c r="AG218" s="357">
        <f t="shared" si="96"/>
        <v>0</v>
      </c>
      <c r="AH218" s="357">
        <f t="shared" si="96"/>
        <v>0</v>
      </c>
      <c r="AI218" s="357">
        <f t="shared" si="96"/>
        <v>0</v>
      </c>
      <c r="AJ218" s="357">
        <f t="shared" si="96"/>
        <v>0</v>
      </c>
      <c r="AK218" s="357">
        <f t="shared" si="96"/>
        <v>0</v>
      </c>
      <c r="AL218" s="357">
        <f t="shared" si="96"/>
        <v>0</v>
      </c>
      <c r="AM218" s="357">
        <f t="shared" si="96"/>
        <v>0</v>
      </c>
      <c r="AN218" s="357">
        <f t="shared" si="96"/>
        <v>0</v>
      </c>
      <c r="AO218" s="357">
        <f t="shared" si="96"/>
        <v>0</v>
      </c>
      <c r="AP218" s="357">
        <f t="shared" si="96"/>
        <v>0</v>
      </c>
      <c r="AQ218" s="357">
        <f t="shared" si="96"/>
        <v>0</v>
      </c>
      <c r="AR218" s="357">
        <f t="shared" si="96"/>
        <v>0</v>
      </c>
      <c r="AS218" s="357">
        <f t="shared" si="96"/>
        <v>0</v>
      </c>
      <c r="AT218" s="357">
        <f t="shared" si="96"/>
        <v>0</v>
      </c>
      <c r="AU218" s="357">
        <f t="shared" si="96"/>
        <v>0</v>
      </c>
      <c r="AV218" s="357">
        <f t="shared" si="96"/>
        <v>0</v>
      </c>
      <c r="AW218" s="357">
        <f t="shared" si="96"/>
        <v>0</v>
      </c>
      <c r="AX218" s="357">
        <f t="shared" si="96"/>
        <v>0</v>
      </c>
      <c r="AY218" s="357">
        <f t="shared" si="96"/>
        <v>0</v>
      </c>
      <c r="AZ218" s="357">
        <f t="shared" si="96"/>
        <v>0</v>
      </c>
      <c r="BA218" s="358">
        <f t="shared" si="96"/>
        <v>0</v>
      </c>
    </row>
    <row r="219" spans="1:53" s="246" customFormat="1" ht="15" outlineLevel="1">
      <c r="A219" s="244"/>
      <c r="B219" s="244"/>
      <c r="C219" s="370"/>
      <c r="D219" s="28"/>
      <c r="E219" s="369" t="s">
        <v>607</v>
      </c>
      <c r="F219" s="357">
        <f>+F11-F22</f>
        <v>2352561.4999999963</v>
      </c>
      <c r="G219" s="357">
        <f>+G11-G22</f>
        <v>4353198.4800000042</v>
      </c>
      <c r="H219" s="357">
        <f>+H11-H22</f>
        <v>3565984.0600000024</v>
      </c>
      <c r="I219" s="357">
        <f>+I11-I22</f>
        <v>4245842.4699999988</v>
      </c>
      <c r="J219" s="357">
        <f t="shared" ref="J219:BA219" si="97">+J11-J22</f>
        <v>5872693.0700000003</v>
      </c>
      <c r="K219" s="357">
        <f t="shared" si="97"/>
        <v>4586950.8299999982</v>
      </c>
      <c r="L219" s="357">
        <f t="shared" si="97"/>
        <v>2120038</v>
      </c>
      <c r="M219" s="357">
        <f t="shared" si="97"/>
        <v>8749720.2599999979</v>
      </c>
      <c r="N219" s="357">
        <f t="shared" si="97"/>
        <v>1058265</v>
      </c>
      <c r="O219" s="357">
        <f t="shared" si="97"/>
        <v>1904854</v>
      </c>
      <c r="P219" s="357">
        <f t="shared" si="97"/>
        <v>2445284</v>
      </c>
      <c r="Q219" s="357">
        <f t="shared" si="97"/>
        <v>3113533</v>
      </c>
      <c r="R219" s="357">
        <f t="shared" si="97"/>
        <v>3816905</v>
      </c>
      <c r="S219" s="357">
        <f t="shared" si="97"/>
        <v>4498543</v>
      </c>
      <c r="T219" s="357">
        <f t="shared" si="97"/>
        <v>5146159</v>
      </c>
      <c r="U219" s="357">
        <f t="shared" si="97"/>
        <v>5690393</v>
      </c>
      <c r="V219" s="357">
        <f t="shared" si="97"/>
        <v>6126926</v>
      </c>
      <c r="W219" s="357">
        <f t="shared" si="97"/>
        <v>6514120</v>
      </c>
      <c r="X219" s="357">
        <f t="shared" si="97"/>
        <v>6861826</v>
      </c>
      <c r="Y219" s="357">
        <f t="shared" si="97"/>
        <v>7165107</v>
      </c>
      <c r="Z219" s="357">
        <f t="shared" si="97"/>
        <v>0</v>
      </c>
      <c r="AA219" s="357">
        <f t="shared" si="97"/>
        <v>0</v>
      </c>
      <c r="AB219" s="357">
        <f t="shared" si="97"/>
        <v>0</v>
      </c>
      <c r="AC219" s="357">
        <f t="shared" si="97"/>
        <v>0</v>
      </c>
      <c r="AD219" s="357">
        <f t="shared" si="97"/>
        <v>0</v>
      </c>
      <c r="AE219" s="357">
        <f t="shared" si="97"/>
        <v>0</v>
      </c>
      <c r="AF219" s="357">
        <f t="shared" si="97"/>
        <v>0</v>
      </c>
      <c r="AG219" s="357">
        <f t="shared" si="97"/>
        <v>0</v>
      </c>
      <c r="AH219" s="357">
        <f t="shared" si="97"/>
        <v>0</v>
      </c>
      <c r="AI219" s="357">
        <f t="shared" si="97"/>
        <v>0</v>
      </c>
      <c r="AJ219" s="357">
        <f t="shared" si="97"/>
        <v>0</v>
      </c>
      <c r="AK219" s="357">
        <f t="shared" si="97"/>
        <v>0</v>
      </c>
      <c r="AL219" s="357">
        <f t="shared" si="97"/>
        <v>0</v>
      </c>
      <c r="AM219" s="357">
        <f t="shared" si="97"/>
        <v>0</v>
      </c>
      <c r="AN219" s="357">
        <f t="shared" si="97"/>
        <v>0</v>
      </c>
      <c r="AO219" s="357">
        <f t="shared" si="97"/>
        <v>0</v>
      </c>
      <c r="AP219" s="357">
        <f t="shared" si="97"/>
        <v>0</v>
      </c>
      <c r="AQ219" s="357">
        <f t="shared" si="97"/>
        <v>0</v>
      </c>
      <c r="AR219" s="357">
        <f t="shared" si="97"/>
        <v>0</v>
      </c>
      <c r="AS219" s="357">
        <f t="shared" si="97"/>
        <v>0</v>
      </c>
      <c r="AT219" s="357">
        <f t="shared" si="97"/>
        <v>0</v>
      </c>
      <c r="AU219" s="357">
        <f t="shared" si="97"/>
        <v>0</v>
      </c>
      <c r="AV219" s="357">
        <f t="shared" si="97"/>
        <v>0</v>
      </c>
      <c r="AW219" s="357">
        <f t="shared" si="97"/>
        <v>0</v>
      </c>
      <c r="AX219" s="357">
        <f t="shared" si="97"/>
        <v>0</v>
      </c>
      <c r="AY219" s="357">
        <f t="shared" si="97"/>
        <v>0</v>
      </c>
      <c r="AZ219" s="357">
        <f t="shared" si="97"/>
        <v>0</v>
      </c>
      <c r="BA219" s="358">
        <f t="shared" si="97"/>
        <v>0</v>
      </c>
    </row>
    <row r="220" spans="1:53" s="246" customFormat="1" ht="24" outlineLevel="1">
      <c r="A220" s="244"/>
      <c r="B220" s="244"/>
      <c r="C220" s="370"/>
      <c r="D220" s="28"/>
      <c r="E220" s="371" t="s">
        <v>608</v>
      </c>
      <c r="F220" s="372">
        <f>+F11-F22-F47</f>
        <v>2352561.4999999963</v>
      </c>
      <c r="G220" s="372">
        <f>+G11-G22-G47</f>
        <v>4353198.4800000042</v>
      </c>
      <c r="H220" s="372">
        <f>+H11-H22-H47</f>
        <v>3565984.0600000024</v>
      </c>
      <c r="I220" s="372">
        <f>+I11-I22-I47</f>
        <v>4245842.4699999988</v>
      </c>
      <c r="J220" s="372">
        <f t="shared" ref="J220:BA220" si="98">+J11-J22-J47</f>
        <v>5872693.0700000003</v>
      </c>
      <c r="K220" s="372">
        <f t="shared" si="98"/>
        <v>4586950.8299999982</v>
      </c>
      <c r="L220" s="372">
        <f t="shared" si="98"/>
        <v>120038</v>
      </c>
      <c r="M220" s="372">
        <f t="shared" si="98"/>
        <v>6749720.2599999979</v>
      </c>
      <c r="N220" s="372">
        <f t="shared" si="98"/>
        <v>1058265</v>
      </c>
      <c r="O220" s="372">
        <f t="shared" si="98"/>
        <v>-95146</v>
      </c>
      <c r="P220" s="372">
        <f t="shared" si="98"/>
        <v>530284</v>
      </c>
      <c r="Q220" s="372">
        <f t="shared" si="98"/>
        <v>1113533</v>
      </c>
      <c r="R220" s="372">
        <f t="shared" si="98"/>
        <v>1816905</v>
      </c>
      <c r="S220" s="372">
        <f t="shared" si="98"/>
        <v>2498543</v>
      </c>
      <c r="T220" s="372">
        <f t="shared" si="98"/>
        <v>3646159</v>
      </c>
      <c r="U220" s="372">
        <f t="shared" si="98"/>
        <v>4190393</v>
      </c>
      <c r="V220" s="372">
        <f t="shared" si="98"/>
        <v>4626926</v>
      </c>
      <c r="W220" s="372">
        <f t="shared" si="98"/>
        <v>5014120</v>
      </c>
      <c r="X220" s="372">
        <f t="shared" si="98"/>
        <v>5111826</v>
      </c>
      <c r="Y220" s="372">
        <f t="shared" si="98"/>
        <v>5415107</v>
      </c>
      <c r="Z220" s="372">
        <f t="shared" si="98"/>
        <v>0</v>
      </c>
      <c r="AA220" s="372">
        <f t="shared" si="98"/>
        <v>0</v>
      </c>
      <c r="AB220" s="372">
        <f t="shared" si="98"/>
        <v>0</v>
      </c>
      <c r="AC220" s="372">
        <f t="shared" si="98"/>
        <v>0</v>
      </c>
      <c r="AD220" s="372">
        <f t="shared" si="98"/>
        <v>0</v>
      </c>
      <c r="AE220" s="372">
        <f t="shared" si="98"/>
        <v>0</v>
      </c>
      <c r="AF220" s="372">
        <f t="shared" si="98"/>
        <v>0</v>
      </c>
      <c r="AG220" s="372">
        <f t="shared" si="98"/>
        <v>0</v>
      </c>
      <c r="AH220" s="372">
        <f t="shared" si="98"/>
        <v>0</v>
      </c>
      <c r="AI220" s="372">
        <f t="shared" si="98"/>
        <v>0</v>
      </c>
      <c r="AJ220" s="372">
        <f t="shared" si="98"/>
        <v>0</v>
      </c>
      <c r="AK220" s="372">
        <f t="shared" si="98"/>
        <v>0</v>
      </c>
      <c r="AL220" s="372">
        <f t="shared" si="98"/>
        <v>0</v>
      </c>
      <c r="AM220" s="372">
        <f t="shared" si="98"/>
        <v>0</v>
      </c>
      <c r="AN220" s="372">
        <f t="shared" si="98"/>
        <v>0</v>
      </c>
      <c r="AO220" s="372">
        <f t="shared" si="98"/>
        <v>0</v>
      </c>
      <c r="AP220" s="372">
        <f t="shared" si="98"/>
        <v>0</v>
      </c>
      <c r="AQ220" s="372">
        <f t="shared" si="98"/>
        <v>0</v>
      </c>
      <c r="AR220" s="372">
        <f t="shared" si="98"/>
        <v>0</v>
      </c>
      <c r="AS220" s="372">
        <f t="shared" si="98"/>
        <v>0</v>
      </c>
      <c r="AT220" s="372">
        <f t="shared" si="98"/>
        <v>0</v>
      </c>
      <c r="AU220" s="372">
        <f t="shared" si="98"/>
        <v>0</v>
      </c>
      <c r="AV220" s="372">
        <f t="shared" si="98"/>
        <v>0</v>
      </c>
      <c r="AW220" s="372">
        <f t="shared" si="98"/>
        <v>0</v>
      </c>
      <c r="AX220" s="372">
        <f t="shared" si="98"/>
        <v>0</v>
      </c>
      <c r="AY220" s="372">
        <f t="shared" si="98"/>
        <v>0</v>
      </c>
      <c r="AZ220" s="372">
        <f t="shared" si="98"/>
        <v>0</v>
      </c>
      <c r="BA220" s="373">
        <f t="shared" si="98"/>
        <v>0</v>
      </c>
    </row>
    <row r="221" spans="1:53" s="246" customFormat="1" ht="24" outlineLevel="1">
      <c r="A221" s="244"/>
      <c r="B221" s="244"/>
      <c r="C221" s="370"/>
      <c r="D221" s="28"/>
      <c r="E221" s="374" t="s">
        <v>609</v>
      </c>
      <c r="F221" s="367">
        <f>+F79-F85</f>
        <v>-20013.929999999993</v>
      </c>
      <c r="G221" s="367">
        <f>+G79-G85</f>
        <v>13071.669999999998</v>
      </c>
      <c r="H221" s="367">
        <f>+H79-H85</f>
        <v>136013.52000000002</v>
      </c>
      <c r="I221" s="367">
        <f>+I79-I85</f>
        <v>250295.58000000007</v>
      </c>
      <c r="J221" s="367">
        <f t="shared" ref="J221:BA221" si="99">+J79-J85</f>
        <v>-50713.140000000014</v>
      </c>
      <c r="K221" s="367">
        <f t="shared" si="99"/>
        <v>84325.04999999993</v>
      </c>
      <c r="L221" s="367">
        <f t="shared" si="99"/>
        <v>-442781</v>
      </c>
      <c r="M221" s="367">
        <f t="shared" si="99"/>
        <v>696542.05999999994</v>
      </c>
      <c r="N221" s="367">
        <f t="shared" si="99"/>
        <v>-379167</v>
      </c>
      <c r="O221" s="367">
        <f t="shared" si="99"/>
        <v>-418220</v>
      </c>
      <c r="P221" s="367">
        <f t="shared" si="99"/>
        <v>0</v>
      </c>
      <c r="Q221" s="367">
        <f t="shared" si="99"/>
        <v>0</v>
      </c>
      <c r="R221" s="367">
        <f t="shared" si="99"/>
        <v>0</v>
      </c>
      <c r="S221" s="367">
        <f t="shared" si="99"/>
        <v>0</v>
      </c>
      <c r="T221" s="367">
        <f t="shared" si="99"/>
        <v>0</v>
      </c>
      <c r="U221" s="367">
        <f t="shared" si="99"/>
        <v>0</v>
      </c>
      <c r="V221" s="367">
        <f t="shared" si="99"/>
        <v>0</v>
      </c>
      <c r="W221" s="367">
        <f t="shared" si="99"/>
        <v>0</v>
      </c>
      <c r="X221" s="367">
        <f t="shared" si="99"/>
        <v>0</v>
      </c>
      <c r="Y221" s="367">
        <f t="shared" si="99"/>
        <v>0</v>
      </c>
      <c r="Z221" s="367">
        <f t="shared" si="99"/>
        <v>0</v>
      </c>
      <c r="AA221" s="367">
        <f t="shared" si="99"/>
        <v>0</v>
      </c>
      <c r="AB221" s="367">
        <f t="shared" si="99"/>
        <v>0</v>
      </c>
      <c r="AC221" s="367">
        <f t="shared" si="99"/>
        <v>0</v>
      </c>
      <c r="AD221" s="367">
        <f t="shared" si="99"/>
        <v>0</v>
      </c>
      <c r="AE221" s="367">
        <f t="shared" si="99"/>
        <v>0</v>
      </c>
      <c r="AF221" s="367">
        <f t="shared" si="99"/>
        <v>0</v>
      </c>
      <c r="AG221" s="367">
        <f t="shared" si="99"/>
        <v>0</v>
      </c>
      <c r="AH221" s="367">
        <f t="shared" si="99"/>
        <v>0</v>
      </c>
      <c r="AI221" s="367">
        <f t="shared" si="99"/>
        <v>0</v>
      </c>
      <c r="AJ221" s="367">
        <f t="shared" si="99"/>
        <v>0</v>
      </c>
      <c r="AK221" s="367">
        <f t="shared" si="99"/>
        <v>0</v>
      </c>
      <c r="AL221" s="367">
        <f t="shared" si="99"/>
        <v>0</v>
      </c>
      <c r="AM221" s="367">
        <f t="shared" si="99"/>
        <v>0</v>
      </c>
      <c r="AN221" s="367">
        <f t="shared" si="99"/>
        <v>0</v>
      </c>
      <c r="AO221" s="367">
        <f t="shared" si="99"/>
        <v>0</v>
      </c>
      <c r="AP221" s="367">
        <f t="shared" si="99"/>
        <v>0</v>
      </c>
      <c r="AQ221" s="367">
        <f t="shared" si="99"/>
        <v>0</v>
      </c>
      <c r="AR221" s="367">
        <f t="shared" si="99"/>
        <v>0</v>
      </c>
      <c r="AS221" s="367">
        <f t="shared" si="99"/>
        <v>0</v>
      </c>
      <c r="AT221" s="367">
        <f t="shared" si="99"/>
        <v>0</v>
      </c>
      <c r="AU221" s="367">
        <f t="shared" si="99"/>
        <v>0</v>
      </c>
      <c r="AV221" s="367">
        <f t="shared" si="99"/>
        <v>0</v>
      </c>
      <c r="AW221" s="367">
        <f t="shared" si="99"/>
        <v>0</v>
      </c>
      <c r="AX221" s="367">
        <f t="shared" si="99"/>
        <v>0</v>
      </c>
      <c r="AY221" s="367">
        <f t="shared" si="99"/>
        <v>0</v>
      </c>
      <c r="AZ221" s="367">
        <f t="shared" si="99"/>
        <v>0</v>
      </c>
      <c r="BA221" s="368">
        <f t="shared" si="99"/>
        <v>0</v>
      </c>
    </row>
    <row r="222" spans="1:53" s="246" customFormat="1" ht="24" outlineLevel="1">
      <c r="A222" s="244"/>
      <c r="B222" s="244"/>
      <c r="C222" s="370"/>
      <c r="D222" s="28"/>
      <c r="E222" s="375" t="s">
        <v>610</v>
      </c>
      <c r="F222" s="376">
        <f>+F82-F88</f>
        <v>0</v>
      </c>
      <c r="G222" s="376">
        <f>+G82-G88</f>
        <v>0</v>
      </c>
      <c r="H222" s="376">
        <f>+H82-H88</f>
        <v>-467439.15</v>
      </c>
      <c r="I222" s="376">
        <f>+I82-I88</f>
        <v>-2961449.3699999996</v>
      </c>
      <c r="J222" s="376">
        <f t="shared" ref="J222:BA222" si="100">+J82-J88</f>
        <v>-1092999.8600000003</v>
      </c>
      <c r="K222" s="376">
        <f t="shared" si="100"/>
        <v>742035.09999999963</v>
      </c>
      <c r="L222" s="376">
        <f t="shared" si="100"/>
        <v>0</v>
      </c>
      <c r="M222" s="376">
        <f t="shared" si="100"/>
        <v>0</v>
      </c>
      <c r="N222" s="376">
        <f t="shared" si="100"/>
        <v>2790427</v>
      </c>
      <c r="O222" s="376">
        <f t="shared" si="100"/>
        <v>0</v>
      </c>
      <c r="P222" s="376">
        <f t="shared" si="100"/>
        <v>0</v>
      </c>
      <c r="Q222" s="376">
        <f t="shared" si="100"/>
        <v>0</v>
      </c>
      <c r="R222" s="376">
        <f t="shared" si="100"/>
        <v>0</v>
      </c>
      <c r="S222" s="376">
        <f t="shared" si="100"/>
        <v>0</v>
      </c>
      <c r="T222" s="376">
        <f t="shared" si="100"/>
        <v>0</v>
      </c>
      <c r="U222" s="376">
        <f t="shared" si="100"/>
        <v>0</v>
      </c>
      <c r="V222" s="376">
        <f t="shared" si="100"/>
        <v>0</v>
      </c>
      <c r="W222" s="376">
        <f t="shared" si="100"/>
        <v>0</v>
      </c>
      <c r="X222" s="376">
        <f t="shared" si="100"/>
        <v>0</v>
      </c>
      <c r="Y222" s="376">
        <f t="shared" si="100"/>
        <v>0</v>
      </c>
      <c r="Z222" s="376">
        <f t="shared" si="100"/>
        <v>0</v>
      </c>
      <c r="AA222" s="376">
        <f t="shared" si="100"/>
        <v>0</v>
      </c>
      <c r="AB222" s="376">
        <f t="shared" si="100"/>
        <v>0</v>
      </c>
      <c r="AC222" s="376">
        <f t="shared" si="100"/>
        <v>0</v>
      </c>
      <c r="AD222" s="376">
        <f t="shared" si="100"/>
        <v>0</v>
      </c>
      <c r="AE222" s="376">
        <f t="shared" si="100"/>
        <v>0</v>
      </c>
      <c r="AF222" s="376">
        <f t="shared" si="100"/>
        <v>0</v>
      </c>
      <c r="AG222" s="376">
        <f t="shared" si="100"/>
        <v>0</v>
      </c>
      <c r="AH222" s="376">
        <f t="shared" si="100"/>
        <v>0</v>
      </c>
      <c r="AI222" s="376">
        <f t="shared" si="100"/>
        <v>0</v>
      </c>
      <c r="AJ222" s="376">
        <f t="shared" si="100"/>
        <v>0</v>
      </c>
      <c r="AK222" s="376">
        <f t="shared" si="100"/>
        <v>0</v>
      </c>
      <c r="AL222" s="376">
        <f t="shared" si="100"/>
        <v>0</v>
      </c>
      <c r="AM222" s="376">
        <f t="shared" si="100"/>
        <v>0</v>
      </c>
      <c r="AN222" s="376">
        <f t="shared" si="100"/>
        <v>0</v>
      </c>
      <c r="AO222" s="376">
        <f t="shared" si="100"/>
        <v>0</v>
      </c>
      <c r="AP222" s="376">
        <f t="shared" si="100"/>
        <v>0</v>
      </c>
      <c r="AQ222" s="376">
        <f t="shared" si="100"/>
        <v>0</v>
      </c>
      <c r="AR222" s="376">
        <f t="shared" si="100"/>
        <v>0</v>
      </c>
      <c r="AS222" s="376">
        <f t="shared" si="100"/>
        <v>0</v>
      </c>
      <c r="AT222" s="376">
        <f t="shared" si="100"/>
        <v>0</v>
      </c>
      <c r="AU222" s="376">
        <f t="shared" si="100"/>
        <v>0</v>
      </c>
      <c r="AV222" s="376">
        <f t="shared" si="100"/>
        <v>0</v>
      </c>
      <c r="AW222" s="376">
        <f t="shared" si="100"/>
        <v>0</v>
      </c>
      <c r="AX222" s="376">
        <f t="shared" si="100"/>
        <v>0</v>
      </c>
      <c r="AY222" s="376">
        <f t="shared" si="100"/>
        <v>0</v>
      </c>
      <c r="AZ222" s="376">
        <f t="shared" si="100"/>
        <v>0</v>
      </c>
      <c r="BA222" s="377">
        <f t="shared" si="100"/>
        <v>0</v>
      </c>
    </row>
    <row r="223" spans="1:53" s="246" customFormat="1" ht="24" outlineLevel="1">
      <c r="A223" s="244"/>
      <c r="B223" s="244"/>
      <c r="C223" s="378"/>
      <c r="D223" s="28"/>
      <c r="E223" s="379" t="s">
        <v>702</v>
      </c>
      <c r="F223" s="380" t="s">
        <v>27</v>
      </c>
      <c r="G223" s="380" t="s">
        <v>27</v>
      </c>
      <c r="H223" s="380" t="s">
        <v>27</v>
      </c>
      <c r="I223" s="380" t="s">
        <v>27</v>
      </c>
      <c r="J223" s="380" t="s">
        <v>27</v>
      </c>
      <c r="K223" s="380" t="s">
        <v>27</v>
      </c>
      <c r="L223" s="380" t="s">
        <v>27</v>
      </c>
      <c r="M223" s="380" t="s">
        <v>27</v>
      </c>
      <c r="N223" s="381">
        <f>+IF(N$11&lt;&gt;0,(N69-N$63)*(N$11-N$15-N$111),"x")</f>
        <v>4917388.4382000007</v>
      </c>
      <c r="O223" s="381">
        <f t="shared" ref="O223:BA224" si="101">+IF(O$11&lt;&gt;0,(O69-O$63)*(O$11-O$15-O$111),"x")</f>
        <v>2663821.1224999996</v>
      </c>
      <c r="P223" s="381">
        <f t="shared" si="101"/>
        <v>2438185.2429000004</v>
      </c>
      <c r="Q223" s="381">
        <f t="shared" si="101"/>
        <v>2209590.8243999998</v>
      </c>
      <c r="R223" s="381">
        <f t="shared" si="101"/>
        <v>1807879.9480000003</v>
      </c>
      <c r="S223" s="381">
        <f t="shared" si="101"/>
        <v>1494616.8257000004</v>
      </c>
      <c r="T223" s="381">
        <f t="shared" si="101"/>
        <v>1948833.915</v>
      </c>
      <c r="U223" s="381">
        <f t="shared" si="101"/>
        <v>2380821.0003</v>
      </c>
      <c r="V223" s="381">
        <f t="shared" si="101"/>
        <v>3068231.4650000003</v>
      </c>
      <c r="W223" s="381">
        <f t="shared" si="101"/>
        <v>3629689.5228000004</v>
      </c>
      <c r="X223" s="381">
        <f t="shared" si="101"/>
        <v>4006769.6171999997</v>
      </c>
      <c r="Y223" s="381">
        <f t="shared" si="101"/>
        <v>4596691.6436000001</v>
      </c>
      <c r="Z223" s="381" t="str">
        <f t="shared" si="101"/>
        <v>x</v>
      </c>
      <c r="AA223" s="381" t="str">
        <f t="shared" si="101"/>
        <v>x</v>
      </c>
      <c r="AB223" s="381" t="str">
        <f t="shared" si="101"/>
        <v>x</v>
      </c>
      <c r="AC223" s="381" t="str">
        <f t="shared" si="101"/>
        <v>x</v>
      </c>
      <c r="AD223" s="381" t="str">
        <f t="shared" si="101"/>
        <v>x</v>
      </c>
      <c r="AE223" s="381" t="str">
        <f t="shared" si="101"/>
        <v>x</v>
      </c>
      <c r="AF223" s="381" t="str">
        <f t="shared" si="101"/>
        <v>x</v>
      </c>
      <c r="AG223" s="381" t="str">
        <f t="shared" si="101"/>
        <v>x</v>
      </c>
      <c r="AH223" s="381" t="str">
        <f t="shared" si="101"/>
        <v>x</v>
      </c>
      <c r="AI223" s="381" t="str">
        <f t="shared" si="101"/>
        <v>x</v>
      </c>
      <c r="AJ223" s="381" t="str">
        <f t="shared" si="101"/>
        <v>x</v>
      </c>
      <c r="AK223" s="381" t="str">
        <f t="shared" si="101"/>
        <v>x</v>
      </c>
      <c r="AL223" s="381" t="str">
        <f t="shared" si="101"/>
        <v>x</v>
      </c>
      <c r="AM223" s="381" t="str">
        <f t="shared" si="101"/>
        <v>x</v>
      </c>
      <c r="AN223" s="381" t="str">
        <f t="shared" si="101"/>
        <v>x</v>
      </c>
      <c r="AO223" s="381" t="str">
        <f t="shared" si="101"/>
        <v>x</v>
      </c>
      <c r="AP223" s="381" t="str">
        <f t="shared" si="101"/>
        <v>x</v>
      </c>
      <c r="AQ223" s="381" t="str">
        <f t="shared" si="101"/>
        <v>x</v>
      </c>
      <c r="AR223" s="381" t="str">
        <f t="shared" si="101"/>
        <v>x</v>
      </c>
      <c r="AS223" s="381" t="str">
        <f t="shared" si="101"/>
        <v>x</v>
      </c>
      <c r="AT223" s="381" t="str">
        <f t="shared" si="101"/>
        <v>x</v>
      </c>
      <c r="AU223" s="381" t="str">
        <f t="shared" si="101"/>
        <v>x</v>
      </c>
      <c r="AV223" s="381" t="str">
        <f t="shared" si="101"/>
        <v>x</v>
      </c>
      <c r="AW223" s="381" t="str">
        <f t="shared" si="101"/>
        <v>x</v>
      </c>
      <c r="AX223" s="381" t="str">
        <f t="shared" si="101"/>
        <v>x</v>
      </c>
      <c r="AY223" s="381" t="str">
        <f t="shared" si="101"/>
        <v>x</v>
      </c>
      <c r="AZ223" s="381" t="str">
        <f t="shared" si="101"/>
        <v>x</v>
      </c>
      <c r="BA223" s="382" t="str">
        <f t="shared" si="101"/>
        <v>x</v>
      </c>
    </row>
    <row r="224" spans="1:53" s="246" customFormat="1" ht="24" outlineLevel="1">
      <c r="A224" s="244"/>
      <c r="B224" s="244"/>
      <c r="C224" s="378"/>
      <c r="D224" s="28"/>
      <c r="E224" s="383" t="s">
        <v>703</v>
      </c>
      <c r="F224" s="384" t="s">
        <v>27</v>
      </c>
      <c r="G224" s="384" t="s">
        <v>27</v>
      </c>
      <c r="H224" s="384" t="s">
        <v>27</v>
      </c>
      <c r="I224" s="384" t="s">
        <v>27</v>
      </c>
      <c r="J224" s="384" t="s">
        <v>27</v>
      </c>
      <c r="K224" s="384" t="s">
        <v>27</v>
      </c>
      <c r="L224" s="384" t="s">
        <v>27</v>
      </c>
      <c r="M224" s="384" t="s">
        <v>27</v>
      </c>
      <c r="N224" s="376">
        <f>+IF(N$11&lt;&gt;0,(N70-N$63)*(N$11-N$15-N$111),"x")</f>
        <v>5941399.9134</v>
      </c>
      <c r="O224" s="376">
        <f t="shared" si="101"/>
        <v>3742123.8899999997</v>
      </c>
      <c r="P224" s="376">
        <f t="shared" si="101"/>
        <v>3554228.5677999994</v>
      </c>
      <c r="Q224" s="376">
        <f t="shared" si="101"/>
        <v>3368720.4372</v>
      </c>
      <c r="R224" s="376">
        <f t="shared" si="101"/>
        <v>2516035.6879999996</v>
      </c>
      <c r="S224" s="376">
        <f t="shared" si="101"/>
        <v>2226849.8526999997</v>
      </c>
      <c r="T224" s="376">
        <f t="shared" si="101"/>
        <v>2705230.64</v>
      </c>
      <c r="U224" s="376">
        <f t="shared" si="101"/>
        <v>2380821.0003</v>
      </c>
      <c r="V224" s="376">
        <f t="shared" si="101"/>
        <v>3068231.4650000003</v>
      </c>
      <c r="W224" s="376">
        <f t="shared" si="101"/>
        <v>3629689.5228000004</v>
      </c>
      <c r="X224" s="376">
        <f t="shared" si="101"/>
        <v>4006769.6171999997</v>
      </c>
      <c r="Y224" s="376">
        <f t="shared" si="101"/>
        <v>4596691.6436000001</v>
      </c>
      <c r="Z224" s="376" t="str">
        <f t="shared" si="101"/>
        <v>x</v>
      </c>
      <c r="AA224" s="376" t="str">
        <f t="shared" si="101"/>
        <v>x</v>
      </c>
      <c r="AB224" s="376" t="str">
        <f t="shared" si="101"/>
        <v>x</v>
      </c>
      <c r="AC224" s="376" t="str">
        <f t="shared" si="101"/>
        <v>x</v>
      </c>
      <c r="AD224" s="376" t="str">
        <f t="shared" si="101"/>
        <v>x</v>
      </c>
      <c r="AE224" s="376" t="str">
        <f t="shared" si="101"/>
        <v>x</v>
      </c>
      <c r="AF224" s="376" t="str">
        <f t="shared" si="101"/>
        <v>x</v>
      </c>
      <c r="AG224" s="376" t="str">
        <f t="shared" si="101"/>
        <v>x</v>
      </c>
      <c r="AH224" s="376" t="str">
        <f t="shared" si="101"/>
        <v>x</v>
      </c>
      <c r="AI224" s="376" t="str">
        <f t="shared" si="101"/>
        <v>x</v>
      </c>
      <c r="AJ224" s="376" t="str">
        <f t="shared" si="101"/>
        <v>x</v>
      </c>
      <c r="AK224" s="376" t="str">
        <f t="shared" si="101"/>
        <v>x</v>
      </c>
      <c r="AL224" s="376" t="str">
        <f t="shared" si="101"/>
        <v>x</v>
      </c>
      <c r="AM224" s="376" t="str">
        <f t="shared" si="101"/>
        <v>x</v>
      </c>
      <c r="AN224" s="376" t="str">
        <f t="shared" si="101"/>
        <v>x</v>
      </c>
      <c r="AO224" s="376" t="str">
        <f t="shared" si="101"/>
        <v>x</v>
      </c>
      <c r="AP224" s="376" t="str">
        <f t="shared" si="101"/>
        <v>x</v>
      </c>
      <c r="AQ224" s="376" t="str">
        <f t="shared" si="101"/>
        <v>x</v>
      </c>
      <c r="AR224" s="376" t="str">
        <f t="shared" si="101"/>
        <v>x</v>
      </c>
      <c r="AS224" s="376" t="str">
        <f t="shared" si="101"/>
        <v>x</v>
      </c>
      <c r="AT224" s="376" t="str">
        <f t="shared" si="101"/>
        <v>x</v>
      </c>
      <c r="AU224" s="376" t="str">
        <f t="shared" si="101"/>
        <v>x</v>
      </c>
      <c r="AV224" s="376" t="str">
        <f t="shared" si="101"/>
        <v>x</v>
      </c>
      <c r="AW224" s="376" t="str">
        <f t="shared" si="101"/>
        <v>x</v>
      </c>
      <c r="AX224" s="376" t="str">
        <f t="shared" si="101"/>
        <v>x</v>
      </c>
      <c r="AY224" s="376" t="str">
        <f t="shared" si="101"/>
        <v>x</v>
      </c>
      <c r="AZ224" s="376" t="str">
        <f t="shared" si="101"/>
        <v>x</v>
      </c>
      <c r="BA224" s="377" t="str">
        <f t="shared" si="101"/>
        <v>x</v>
      </c>
    </row>
    <row r="225" spans="1:53" s="246" customFormat="1" ht="15" outlineLevel="1">
      <c r="A225" s="244"/>
      <c r="B225" s="244"/>
      <c r="C225" s="378"/>
      <c r="D225" s="28"/>
      <c r="E225" s="385" t="s">
        <v>611</v>
      </c>
      <c r="F225" s="386"/>
      <c r="G225" s="386"/>
      <c r="H225" s="386"/>
      <c r="I225" s="386"/>
      <c r="J225" s="386"/>
      <c r="K225" s="386"/>
      <c r="L225" s="386"/>
      <c r="M225" s="386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7"/>
      <c r="AP225" s="387"/>
      <c r="AQ225" s="387"/>
      <c r="AR225" s="387"/>
      <c r="AS225" s="387"/>
      <c r="AT225" s="387"/>
      <c r="AU225" s="387"/>
      <c r="AV225" s="387"/>
      <c r="AW225" s="387"/>
      <c r="AX225" s="387"/>
      <c r="AY225" s="387"/>
      <c r="AZ225" s="387"/>
      <c r="BA225" s="387"/>
    </row>
    <row r="226" spans="1:53" s="246" customFormat="1" ht="15" outlineLevel="1">
      <c r="A226" s="244"/>
      <c r="B226" s="244"/>
      <c r="C226" s="378"/>
      <c r="D226" s="28"/>
      <c r="E226" s="366" t="s">
        <v>612</v>
      </c>
      <c r="F226" s="388">
        <f>+IF(F10&lt;&gt;0,ROUND(F11/F10,4),0)</f>
        <v>0.90249999999999997</v>
      </c>
      <c r="G226" s="388">
        <f>+IF(G10&lt;&gt;0,ROUND(G11/G10,4),0)</f>
        <v>0.85770000000000002</v>
      </c>
      <c r="H226" s="388">
        <f>+IF(H10&lt;&gt;0,ROUND(H11/H10,4),0)</f>
        <v>0.9</v>
      </c>
      <c r="I226" s="388">
        <f>+IF(I10&lt;&gt;0,ROUND(I11/I10,4),0)</f>
        <v>0.81430000000000002</v>
      </c>
      <c r="J226" s="388">
        <f t="shared" ref="J226:BA226" si="102">+IF(J10&lt;&gt;0,ROUND(J11/J10,4),0)</f>
        <v>0.77129999999999999</v>
      </c>
      <c r="K226" s="388">
        <f t="shared" si="102"/>
        <v>0.76629999999999998</v>
      </c>
      <c r="L226" s="388">
        <f t="shared" si="102"/>
        <v>0.89880000000000004</v>
      </c>
      <c r="M226" s="388">
        <f t="shared" si="102"/>
        <v>0.83289999999999997</v>
      </c>
      <c r="N226" s="388">
        <f t="shared" si="102"/>
        <v>0.82189999999999996</v>
      </c>
      <c r="O226" s="388">
        <f t="shared" si="102"/>
        <v>0.69789999999999996</v>
      </c>
      <c r="P226" s="388">
        <f t="shared" si="102"/>
        <v>0.99070000000000003</v>
      </c>
      <c r="Q226" s="388">
        <f t="shared" si="102"/>
        <v>0.99099999999999999</v>
      </c>
      <c r="R226" s="388">
        <f t="shared" si="102"/>
        <v>0.99129999999999996</v>
      </c>
      <c r="S226" s="388">
        <f t="shared" si="102"/>
        <v>0.99160000000000004</v>
      </c>
      <c r="T226" s="388">
        <f t="shared" si="102"/>
        <v>0.9919</v>
      </c>
      <c r="U226" s="388">
        <f t="shared" si="102"/>
        <v>0.99209999999999998</v>
      </c>
      <c r="V226" s="388">
        <f t="shared" si="102"/>
        <v>0.99229999999999996</v>
      </c>
      <c r="W226" s="388">
        <f t="shared" si="102"/>
        <v>0.99250000000000005</v>
      </c>
      <c r="X226" s="388">
        <f t="shared" si="102"/>
        <v>1</v>
      </c>
      <c r="Y226" s="388">
        <f t="shared" si="102"/>
        <v>1</v>
      </c>
      <c r="Z226" s="388">
        <f t="shared" si="102"/>
        <v>0</v>
      </c>
      <c r="AA226" s="388">
        <f t="shared" si="102"/>
        <v>0</v>
      </c>
      <c r="AB226" s="388">
        <f t="shared" si="102"/>
        <v>0</v>
      </c>
      <c r="AC226" s="388">
        <f t="shared" si="102"/>
        <v>0</v>
      </c>
      <c r="AD226" s="388">
        <f t="shared" si="102"/>
        <v>0</v>
      </c>
      <c r="AE226" s="388">
        <f t="shared" si="102"/>
        <v>0</v>
      </c>
      <c r="AF226" s="388">
        <f t="shared" si="102"/>
        <v>0</v>
      </c>
      <c r="AG226" s="388">
        <f t="shared" si="102"/>
        <v>0</v>
      </c>
      <c r="AH226" s="388">
        <f t="shared" si="102"/>
        <v>0</v>
      </c>
      <c r="AI226" s="388">
        <f t="shared" si="102"/>
        <v>0</v>
      </c>
      <c r="AJ226" s="388">
        <f t="shared" si="102"/>
        <v>0</v>
      </c>
      <c r="AK226" s="388">
        <f t="shared" si="102"/>
        <v>0</v>
      </c>
      <c r="AL226" s="388">
        <f t="shared" si="102"/>
        <v>0</v>
      </c>
      <c r="AM226" s="388">
        <f t="shared" si="102"/>
        <v>0</v>
      </c>
      <c r="AN226" s="388">
        <f t="shared" si="102"/>
        <v>0</v>
      </c>
      <c r="AO226" s="388">
        <f t="shared" si="102"/>
        <v>0</v>
      </c>
      <c r="AP226" s="388">
        <f t="shared" si="102"/>
        <v>0</v>
      </c>
      <c r="AQ226" s="388">
        <f t="shared" si="102"/>
        <v>0</v>
      </c>
      <c r="AR226" s="388">
        <f t="shared" si="102"/>
        <v>0</v>
      </c>
      <c r="AS226" s="388">
        <f t="shared" si="102"/>
        <v>0</v>
      </c>
      <c r="AT226" s="388">
        <f t="shared" si="102"/>
        <v>0</v>
      </c>
      <c r="AU226" s="388">
        <f t="shared" si="102"/>
        <v>0</v>
      </c>
      <c r="AV226" s="388">
        <f t="shared" si="102"/>
        <v>0</v>
      </c>
      <c r="AW226" s="388">
        <f t="shared" si="102"/>
        <v>0</v>
      </c>
      <c r="AX226" s="388">
        <f t="shared" si="102"/>
        <v>0</v>
      </c>
      <c r="AY226" s="388">
        <f t="shared" si="102"/>
        <v>0</v>
      </c>
      <c r="AZ226" s="388">
        <f t="shared" si="102"/>
        <v>0</v>
      </c>
      <c r="BA226" s="389">
        <f t="shared" si="102"/>
        <v>0</v>
      </c>
    </row>
    <row r="227" spans="1:53" s="246" customFormat="1" ht="15" outlineLevel="1">
      <c r="A227" s="244"/>
      <c r="B227" s="244"/>
      <c r="C227" s="378"/>
      <c r="D227" s="28"/>
      <c r="E227" s="369" t="s">
        <v>613</v>
      </c>
      <c r="F227" s="390">
        <f>+IF(F11&lt;&gt;0,ROUND((F12+F13)/F11,4),0)</f>
        <v>0.2923</v>
      </c>
      <c r="G227" s="390">
        <f>+IF(G11&lt;&gt;0,ROUND((G12+G13)/G11,4),0)</f>
        <v>0.31990000000000002</v>
      </c>
      <c r="H227" s="390">
        <f>+IF(H11&lt;&gt;0,ROUND((H12+H13)/H11,4),0)</f>
        <v>0.32240000000000002</v>
      </c>
      <c r="I227" s="390">
        <f>+IF(I11&lt;&gt;0,ROUND((I12+I13)/I11,4),0)</f>
        <v>0.34970000000000001</v>
      </c>
      <c r="J227" s="390">
        <f t="shared" ref="J227:BA227" si="103">+IF(J11&lt;&gt;0,ROUND((J12+J13)/J11,4),0)</f>
        <v>0.36449999999999999</v>
      </c>
      <c r="K227" s="390">
        <f t="shared" si="103"/>
        <v>0.33979999999999999</v>
      </c>
      <c r="L227" s="390">
        <f t="shared" si="103"/>
        <v>0.33600000000000002</v>
      </c>
      <c r="M227" s="390">
        <f t="shared" si="103"/>
        <v>0.3332</v>
      </c>
      <c r="N227" s="390">
        <f t="shared" si="103"/>
        <v>0.3271</v>
      </c>
      <c r="O227" s="390">
        <f t="shared" si="103"/>
        <v>0.32940000000000003</v>
      </c>
      <c r="P227" s="390">
        <f t="shared" si="103"/>
        <v>0.32940000000000003</v>
      </c>
      <c r="Q227" s="390">
        <f t="shared" si="103"/>
        <v>0.32940000000000003</v>
      </c>
      <c r="R227" s="390">
        <f t="shared" si="103"/>
        <v>0.32940000000000003</v>
      </c>
      <c r="S227" s="390">
        <f t="shared" si="103"/>
        <v>0.32940000000000003</v>
      </c>
      <c r="T227" s="390">
        <f t="shared" si="103"/>
        <v>0.32940000000000003</v>
      </c>
      <c r="U227" s="390">
        <f t="shared" si="103"/>
        <v>0.32940000000000003</v>
      </c>
      <c r="V227" s="390">
        <f t="shared" si="103"/>
        <v>0.32940000000000003</v>
      </c>
      <c r="W227" s="390">
        <f t="shared" si="103"/>
        <v>0.32940000000000003</v>
      </c>
      <c r="X227" s="390">
        <f t="shared" si="103"/>
        <v>0.32940000000000003</v>
      </c>
      <c r="Y227" s="390">
        <f t="shared" si="103"/>
        <v>0.32940000000000003</v>
      </c>
      <c r="Z227" s="390">
        <f t="shared" si="103"/>
        <v>0</v>
      </c>
      <c r="AA227" s="390">
        <f t="shared" si="103"/>
        <v>0</v>
      </c>
      <c r="AB227" s="390">
        <f t="shared" si="103"/>
        <v>0</v>
      </c>
      <c r="AC227" s="390">
        <f t="shared" si="103"/>
        <v>0</v>
      </c>
      <c r="AD227" s="390">
        <f t="shared" si="103"/>
        <v>0</v>
      </c>
      <c r="AE227" s="390">
        <f t="shared" si="103"/>
        <v>0</v>
      </c>
      <c r="AF227" s="390">
        <f t="shared" si="103"/>
        <v>0</v>
      </c>
      <c r="AG227" s="390">
        <f t="shared" si="103"/>
        <v>0</v>
      </c>
      <c r="AH227" s="390">
        <f t="shared" si="103"/>
        <v>0</v>
      </c>
      <c r="AI227" s="390">
        <f t="shared" si="103"/>
        <v>0</v>
      </c>
      <c r="AJ227" s="390">
        <f t="shared" si="103"/>
        <v>0</v>
      </c>
      <c r="AK227" s="390">
        <f t="shared" si="103"/>
        <v>0</v>
      </c>
      <c r="AL227" s="390">
        <f t="shared" si="103"/>
        <v>0</v>
      </c>
      <c r="AM227" s="390">
        <f t="shared" si="103"/>
        <v>0</v>
      </c>
      <c r="AN227" s="390">
        <f t="shared" si="103"/>
        <v>0</v>
      </c>
      <c r="AO227" s="390">
        <f t="shared" si="103"/>
        <v>0</v>
      </c>
      <c r="AP227" s="390">
        <f t="shared" si="103"/>
        <v>0</v>
      </c>
      <c r="AQ227" s="390">
        <f t="shared" si="103"/>
        <v>0</v>
      </c>
      <c r="AR227" s="390">
        <f t="shared" si="103"/>
        <v>0</v>
      </c>
      <c r="AS227" s="390">
        <f t="shared" si="103"/>
        <v>0</v>
      </c>
      <c r="AT227" s="390">
        <f t="shared" si="103"/>
        <v>0</v>
      </c>
      <c r="AU227" s="390">
        <f t="shared" si="103"/>
        <v>0</v>
      </c>
      <c r="AV227" s="390">
        <f t="shared" si="103"/>
        <v>0</v>
      </c>
      <c r="AW227" s="390">
        <f t="shared" si="103"/>
        <v>0</v>
      </c>
      <c r="AX227" s="390">
        <f t="shared" si="103"/>
        <v>0</v>
      </c>
      <c r="AY227" s="390">
        <f t="shared" si="103"/>
        <v>0</v>
      </c>
      <c r="AZ227" s="390">
        <f t="shared" si="103"/>
        <v>0</v>
      </c>
      <c r="BA227" s="391">
        <f t="shared" si="103"/>
        <v>0</v>
      </c>
    </row>
    <row r="228" spans="1:53" s="246" customFormat="1" ht="24" outlineLevel="1">
      <c r="A228" s="244"/>
      <c r="B228" s="244"/>
      <c r="C228" s="378"/>
      <c r="D228" s="28"/>
      <c r="E228" s="392" t="s">
        <v>614</v>
      </c>
      <c r="F228" s="390">
        <f>+IF(F11&lt;&gt;0,ROUND((F12+F13+F14+F15)/F11,4),0)</f>
        <v>0.90969999999999995</v>
      </c>
      <c r="G228" s="390">
        <f>+IF(G11&lt;&gt;0,ROUND((G12+G13+G14+G15)/G11,4),0)</f>
        <v>0.90559999999999996</v>
      </c>
      <c r="H228" s="390">
        <f>+IF(H11&lt;&gt;0,ROUND((H12+H13+H14+H15)/H11,4),0)</f>
        <v>0.90449999999999997</v>
      </c>
      <c r="I228" s="390">
        <f>+IF(I11&lt;&gt;0,ROUND((I12+I13+I14+I15)/I11,4),0)</f>
        <v>0.90949999999999998</v>
      </c>
      <c r="J228" s="390">
        <f t="shared" ref="J228:BA228" si="104">+IF(J11&lt;&gt;0,ROUND((J12+J13+J14+J15)/J11,4),0)</f>
        <v>0.91349999999999998</v>
      </c>
      <c r="K228" s="390">
        <f t="shared" si="104"/>
        <v>0.92130000000000001</v>
      </c>
      <c r="L228" s="390">
        <f t="shared" si="104"/>
        <v>0.91459999999999997</v>
      </c>
      <c r="M228" s="390">
        <f t="shared" si="104"/>
        <v>0.90280000000000005</v>
      </c>
      <c r="N228" s="390">
        <f t="shared" si="104"/>
        <v>0.92569999999999997</v>
      </c>
      <c r="O228" s="390">
        <f t="shared" si="104"/>
        <v>0.91159999999999997</v>
      </c>
      <c r="P228" s="390">
        <f t="shared" si="104"/>
        <v>0.91159999999999997</v>
      </c>
      <c r="Q228" s="390">
        <f t="shared" si="104"/>
        <v>0.91159999999999997</v>
      </c>
      <c r="R228" s="390">
        <f t="shared" si="104"/>
        <v>0.91159999999999997</v>
      </c>
      <c r="S228" s="390">
        <f t="shared" si="104"/>
        <v>0.91159999999999997</v>
      </c>
      <c r="T228" s="390">
        <f t="shared" si="104"/>
        <v>0.91159999999999997</v>
      </c>
      <c r="U228" s="390">
        <f t="shared" si="104"/>
        <v>0.91159999999999997</v>
      </c>
      <c r="V228" s="390">
        <f t="shared" si="104"/>
        <v>0.91159999999999997</v>
      </c>
      <c r="W228" s="390">
        <f t="shared" si="104"/>
        <v>0.91159999999999997</v>
      </c>
      <c r="X228" s="390">
        <f t="shared" si="104"/>
        <v>0.91159999999999997</v>
      </c>
      <c r="Y228" s="390">
        <f t="shared" si="104"/>
        <v>0.91159999999999997</v>
      </c>
      <c r="Z228" s="390">
        <f t="shared" si="104"/>
        <v>0</v>
      </c>
      <c r="AA228" s="390">
        <f t="shared" si="104"/>
        <v>0</v>
      </c>
      <c r="AB228" s="390">
        <f t="shared" si="104"/>
        <v>0</v>
      </c>
      <c r="AC228" s="390">
        <f t="shared" si="104"/>
        <v>0</v>
      </c>
      <c r="AD228" s="390">
        <f t="shared" si="104"/>
        <v>0</v>
      </c>
      <c r="AE228" s="390">
        <f t="shared" si="104"/>
        <v>0</v>
      </c>
      <c r="AF228" s="390">
        <f t="shared" si="104"/>
        <v>0</v>
      </c>
      <c r="AG228" s="390">
        <f t="shared" si="104"/>
        <v>0</v>
      </c>
      <c r="AH228" s="390">
        <f t="shared" si="104"/>
        <v>0</v>
      </c>
      <c r="AI228" s="390">
        <f t="shared" si="104"/>
        <v>0</v>
      </c>
      <c r="AJ228" s="390">
        <f t="shared" si="104"/>
        <v>0</v>
      </c>
      <c r="AK228" s="390">
        <f t="shared" si="104"/>
        <v>0</v>
      </c>
      <c r="AL228" s="390">
        <f t="shared" si="104"/>
        <v>0</v>
      </c>
      <c r="AM228" s="390">
        <f t="shared" si="104"/>
        <v>0</v>
      </c>
      <c r="AN228" s="390">
        <f t="shared" si="104"/>
        <v>0</v>
      </c>
      <c r="AO228" s="390">
        <f t="shared" si="104"/>
        <v>0</v>
      </c>
      <c r="AP228" s="390">
        <f t="shared" si="104"/>
        <v>0</v>
      </c>
      <c r="AQ228" s="390">
        <f t="shared" si="104"/>
        <v>0</v>
      </c>
      <c r="AR228" s="390">
        <f t="shared" si="104"/>
        <v>0</v>
      </c>
      <c r="AS228" s="390">
        <f t="shared" si="104"/>
        <v>0</v>
      </c>
      <c r="AT228" s="390">
        <f t="shared" si="104"/>
        <v>0</v>
      </c>
      <c r="AU228" s="390">
        <f t="shared" si="104"/>
        <v>0</v>
      </c>
      <c r="AV228" s="390">
        <f t="shared" si="104"/>
        <v>0</v>
      </c>
      <c r="AW228" s="390">
        <f t="shared" si="104"/>
        <v>0</v>
      </c>
      <c r="AX228" s="390">
        <f t="shared" si="104"/>
        <v>0</v>
      </c>
      <c r="AY228" s="390">
        <f t="shared" si="104"/>
        <v>0</v>
      </c>
      <c r="AZ228" s="390">
        <f t="shared" si="104"/>
        <v>0</v>
      </c>
      <c r="BA228" s="391">
        <f t="shared" si="104"/>
        <v>0</v>
      </c>
    </row>
    <row r="229" spans="1:53" s="246" customFormat="1" ht="15" outlineLevel="1">
      <c r="A229" s="244"/>
      <c r="B229" s="244"/>
      <c r="C229" s="378"/>
      <c r="D229" s="28"/>
      <c r="E229" s="369" t="s">
        <v>615</v>
      </c>
      <c r="F229" s="390">
        <f>+IF(F10&lt;&gt;0,ROUND(F18/F10,4),0)</f>
        <v>9.7500000000000003E-2</v>
      </c>
      <c r="G229" s="390">
        <f>+IF(G10&lt;&gt;0,ROUND(G18/G10,4),0)</f>
        <v>0.14230000000000001</v>
      </c>
      <c r="H229" s="390">
        <f>+IF(H10&lt;&gt;0,ROUND(H18/H10,4),0)</f>
        <v>0.1</v>
      </c>
      <c r="I229" s="390">
        <f>+IF(I10&lt;&gt;0,ROUND(I18/I10,4),0)</f>
        <v>0.1857</v>
      </c>
      <c r="J229" s="390">
        <f t="shared" ref="J229:BA229" si="105">+IF(J10&lt;&gt;0,ROUND(J18/J10,4),0)</f>
        <v>0.22869999999999999</v>
      </c>
      <c r="K229" s="390">
        <f t="shared" si="105"/>
        <v>0.23369999999999999</v>
      </c>
      <c r="L229" s="390">
        <f t="shared" si="105"/>
        <v>0.1012</v>
      </c>
      <c r="M229" s="390">
        <f t="shared" si="105"/>
        <v>0.1671</v>
      </c>
      <c r="N229" s="390">
        <f t="shared" si="105"/>
        <v>0.17810000000000001</v>
      </c>
      <c r="O229" s="390">
        <f t="shared" si="105"/>
        <v>0.30209999999999998</v>
      </c>
      <c r="P229" s="390">
        <f t="shared" si="105"/>
        <v>9.2999999999999992E-3</v>
      </c>
      <c r="Q229" s="390">
        <f t="shared" si="105"/>
        <v>8.9999999999999993E-3</v>
      </c>
      <c r="R229" s="390">
        <f t="shared" si="105"/>
        <v>8.6999999999999994E-3</v>
      </c>
      <c r="S229" s="390">
        <f t="shared" si="105"/>
        <v>8.3999999999999995E-3</v>
      </c>
      <c r="T229" s="390">
        <f t="shared" si="105"/>
        <v>8.0999999999999996E-3</v>
      </c>
      <c r="U229" s="390">
        <f t="shared" si="105"/>
        <v>7.9000000000000008E-3</v>
      </c>
      <c r="V229" s="390">
        <f t="shared" si="105"/>
        <v>7.7000000000000002E-3</v>
      </c>
      <c r="W229" s="390">
        <f t="shared" si="105"/>
        <v>7.4999999999999997E-3</v>
      </c>
      <c r="X229" s="390">
        <f t="shared" si="105"/>
        <v>0</v>
      </c>
      <c r="Y229" s="390">
        <f t="shared" si="105"/>
        <v>0</v>
      </c>
      <c r="Z229" s="390">
        <f t="shared" si="105"/>
        <v>0</v>
      </c>
      <c r="AA229" s="390">
        <f t="shared" si="105"/>
        <v>0</v>
      </c>
      <c r="AB229" s="390">
        <f t="shared" si="105"/>
        <v>0</v>
      </c>
      <c r="AC229" s="390">
        <f t="shared" si="105"/>
        <v>0</v>
      </c>
      <c r="AD229" s="390">
        <f t="shared" si="105"/>
        <v>0</v>
      </c>
      <c r="AE229" s="390">
        <f t="shared" si="105"/>
        <v>0</v>
      </c>
      <c r="AF229" s="390">
        <f t="shared" si="105"/>
        <v>0</v>
      </c>
      <c r="AG229" s="390">
        <f t="shared" si="105"/>
        <v>0</v>
      </c>
      <c r="AH229" s="390">
        <f t="shared" si="105"/>
        <v>0</v>
      </c>
      <c r="AI229" s="390">
        <f t="shared" si="105"/>
        <v>0</v>
      </c>
      <c r="AJ229" s="390">
        <f t="shared" si="105"/>
        <v>0</v>
      </c>
      <c r="AK229" s="390">
        <f t="shared" si="105"/>
        <v>0</v>
      </c>
      <c r="AL229" s="390">
        <f t="shared" si="105"/>
        <v>0</v>
      </c>
      <c r="AM229" s="390">
        <f t="shared" si="105"/>
        <v>0</v>
      </c>
      <c r="AN229" s="390">
        <f t="shared" si="105"/>
        <v>0</v>
      </c>
      <c r="AO229" s="390">
        <f t="shared" si="105"/>
        <v>0</v>
      </c>
      <c r="AP229" s="390">
        <f t="shared" si="105"/>
        <v>0</v>
      </c>
      <c r="AQ229" s="390">
        <f t="shared" si="105"/>
        <v>0</v>
      </c>
      <c r="AR229" s="390">
        <f t="shared" si="105"/>
        <v>0</v>
      </c>
      <c r="AS229" s="390">
        <f t="shared" si="105"/>
        <v>0</v>
      </c>
      <c r="AT229" s="390">
        <f t="shared" si="105"/>
        <v>0</v>
      </c>
      <c r="AU229" s="390">
        <f t="shared" si="105"/>
        <v>0</v>
      </c>
      <c r="AV229" s="390">
        <f t="shared" si="105"/>
        <v>0</v>
      </c>
      <c r="AW229" s="390">
        <f t="shared" si="105"/>
        <v>0</v>
      </c>
      <c r="AX229" s="390">
        <f t="shared" si="105"/>
        <v>0</v>
      </c>
      <c r="AY229" s="390">
        <f t="shared" si="105"/>
        <v>0</v>
      </c>
      <c r="AZ229" s="390">
        <f t="shared" si="105"/>
        <v>0</v>
      </c>
      <c r="BA229" s="391">
        <f t="shared" si="105"/>
        <v>0</v>
      </c>
    </row>
    <row r="230" spans="1:53" s="246" customFormat="1" outlineLevel="1">
      <c r="A230" s="244"/>
      <c r="B230" s="244"/>
      <c r="C230" s="311"/>
      <c r="D230" s="311"/>
      <c r="E230" s="392" t="s">
        <v>692</v>
      </c>
      <c r="F230" s="390">
        <f>+IF(F18&lt;&gt;0,ROUND(F19/F18,4),0)</f>
        <v>1.77E-2</v>
      </c>
      <c r="G230" s="390">
        <f>+IF(G18&lt;&gt;0,ROUND(G19/G18,4),0)</f>
        <v>1.2999999999999999E-2</v>
      </c>
      <c r="H230" s="390">
        <f>+IF(H18&lt;&gt;0,ROUND(H19/H18,4),0)</f>
        <v>1.2999999999999999E-2</v>
      </c>
      <c r="I230" s="390">
        <f>+IF(I18&lt;&gt;0,ROUND(I19/I18,4),0)</f>
        <v>0.1399</v>
      </c>
      <c r="J230" s="390">
        <f t="shared" ref="J230:BA230" si="106">+IF(J18&lt;&gt;0,ROUND(J19/J18,4),0)</f>
        <v>2.7000000000000001E-3</v>
      </c>
      <c r="K230" s="390">
        <f t="shared" si="106"/>
        <v>2.8E-3</v>
      </c>
      <c r="L230" s="390">
        <f t="shared" si="106"/>
        <v>5.1999999999999998E-3</v>
      </c>
      <c r="M230" s="390">
        <f t="shared" si="106"/>
        <v>0.30740000000000001</v>
      </c>
      <c r="N230" s="390">
        <f t="shared" si="106"/>
        <v>2.7000000000000001E-3</v>
      </c>
      <c r="O230" s="390">
        <f t="shared" si="106"/>
        <v>0</v>
      </c>
      <c r="P230" s="390">
        <f t="shared" si="106"/>
        <v>0</v>
      </c>
      <c r="Q230" s="390">
        <f t="shared" si="106"/>
        <v>0</v>
      </c>
      <c r="R230" s="390">
        <f t="shared" si="106"/>
        <v>0</v>
      </c>
      <c r="S230" s="390">
        <f t="shared" si="106"/>
        <v>0</v>
      </c>
      <c r="T230" s="390">
        <f t="shared" si="106"/>
        <v>0</v>
      </c>
      <c r="U230" s="390">
        <f t="shared" si="106"/>
        <v>0</v>
      </c>
      <c r="V230" s="390">
        <f t="shared" si="106"/>
        <v>0</v>
      </c>
      <c r="W230" s="390">
        <f t="shared" si="106"/>
        <v>0</v>
      </c>
      <c r="X230" s="390">
        <f t="shared" si="106"/>
        <v>0</v>
      </c>
      <c r="Y230" s="390">
        <f t="shared" si="106"/>
        <v>0</v>
      </c>
      <c r="Z230" s="390">
        <f t="shared" si="106"/>
        <v>0</v>
      </c>
      <c r="AA230" s="390">
        <f t="shared" si="106"/>
        <v>0</v>
      </c>
      <c r="AB230" s="390">
        <f t="shared" si="106"/>
        <v>0</v>
      </c>
      <c r="AC230" s="390">
        <f t="shared" si="106"/>
        <v>0</v>
      </c>
      <c r="AD230" s="390">
        <f t="shared" si="106"/>
        <v>0</v>
      </c>
      <c r="AE230" s="390">
        <f t="shared" si="106"/>
        <v>0</v>
      </c>
      <c r="AF230" s="390">
        <f t="shared" si="106"/>
        <v>0</v>
      </c>
      <c r="AG230" s="390">
        <f t="shared" si="106"/>
        <v>0</v>
      </c>
      <c r="AH230" s="390">
        <f t="shared" si="106"/>
        <v>0</v>
      </c>
      <c r="AI230" s="390">
        <f t="shared" si="106"/>
        <v>0</v>
      </c>
      <c r="AJ230" s="390">
        <f t="shared" si="106"/>
        <v>0</v>
      </c>
      <c r="AK230" s="390">
        <f t="shared" si="106"/>
        <v>0</v>
      </c>
      <c r="AL230" s="390">
        <f t="shared" si="106"/>
        <v>0</v>
      </c>
      <c r="AM230" s="390">
        <f t="shared" si="106"/>
        <v>0</v>
      </c>
      <c r="AN230" s="390">
        <f t="shared" si="106"/>
        <v>0</v>
      </c>
      <c r="AO230" s="390">
        <f t="shared" si="106"/>
        <v>0</v>
      </c>
      <c r="AP230" s="390">
        <f t="shared" si="106"/>
        <v>0</v>
      </c>
      <c r="AQ230" s="390">
        <f t="shared" si="106"/>
        <v>0</v>
      </c>
      <c r="AR230" s="390">
        <f t="shared" si="106"/>
        <v>0</v>
      </c>
      <c r="AS230" s="390">
        <f t="shared" si="106"/>
        <v>0</v>
      </c>
      <c r="AT230" s="390">
        <f t="shared" si="106"/>
        <v>0</v>
      </c>
      <c r="AU230" s="390">
        <f t="shared" si="106"/>
        <v>0</v>
      </c>
      <c r="AV230" s="390">
        <f t="shared" si="106"/>
        <v>0</v>
      </c>
      <c r="AW230" s="390">
        <f t="shared" si="106"/>
        <v>0</v>
      </c>
      <c r="AX230" s="390">
        <f t="shared" si="106"/>
        <v>0</v>
      </c>
      <c r="AY230" s="390">
        <f t="shared" si="106"/>
        <v>0</v>
      </c>
      <c r="AZ230" s="390">
        <f t="shared" si="106"/>
        <v>0</v>
      </c>
      <c r="BA230" s="391">
        <f t="shared" si="106"/>
        <v>0</v>
      </c>
    </row>
    <row r="231" spans="1:53" s="246" customFormat="1" outlineLevel="1">
      <c r="A231" s="244"/>
      <c r="B231" s="244"/>
      <c r="C231" s="1"/>
      <c r="D231" s="1"/>
      <c r="E231" s="369" t="s">
        <v>616</v>
      </c>
      <c r="F231" s="390">
        <f>+IF(F21&lt;&gt;0,ROUND(F22/F21,4),0)</f>
        <v>0.82369999999999999</v>
      </c>
      <c r="G231" s="390">
        <f>+IF(G21&lt;&gt;0,ROUND(G22/G21,4),0)</f>
        <v>0.79239999999999999</v>
      </c>
      <c r="H231" s="390">
        <f>+IF(H21&lt;&gt;0,ROUND(H22/H21,4),0)</f>
        <v>0.83860000000000001</v>
      </c>
      <c r="I231" s="390">
        <f>+IF(I21&lt;&gt;0,ROUND(I22/I21,4),0)</f>
        <v>0.74039999999999995</v>
      </c>
      <c r="J231" s="390">
        <f t="shared" ref="J231:BA231" si="107">+IF(J21&lt;&gt;0,ROUND(J22/J21,4),0)</f>
        <v>0.73670000000000002</v>
      </c>
      <c r="K231" s="390">
        <f t="shared" si="107"/>
        <v>0.73780000000000001</v>
      </c>
      <c r="L231" s="390">
        <f t="shared" si="107"/>
        <v>0.72330000000000005</v>
      </c>
      <c r="M231" s="390">
        <f t="shared" si="107"/>
        <v>0.75490000000000002</v>
      </c>
      <c r="N231" s="390">
        <f t="shared" si="107"/>
        <v>0.64800000000000002</v>
      </c>
      <c r="O231" s="390">
        <f t="shared" si="107"/>
        <v>0.68130000000000002</v>
      </c>
      <c r="P231" s="390">
        <f t="shared" si="107"/>
        <v>0.98009999999999997</v>
      </c>
      <c r="Q231" s="390">
        <f t="shared" si="107"/>
        <v>0.96989999999999998</v>
      </c>
      <c r="R231" s="390">
        <f t="shared" si="107"/>
        <v>0.95830000000000004</v>
      </c>
      <c r="S231" s="390">
        <f t="shared" si="107"/>
        <v>0.94779999999999998</v>
      </c>
      <c r="T231" s="390">
        <f t="shared" si="107"/>
        <v>0.93079999999999996</v>
      </c>
      <c r="U231" s="390">
        <f t="shared" si="107"/>
        <v>0.92410000000000003</v>
      </c>
      <c r="V231" s="390">
        <f t="shared" si="107"/>
        <v>0.9194</v>
      </c>
      <c r="W231" s="390">
        <f t="shared" si="107"/>
        <v>0.91569999999999996</v>
      </c>
      <c r="X231" s="390">
        <f t="shared" si="107"/>
        <v>0.92310000000000003</v>
      </c>
      <c r="Y231" s="390">
        <f t="shared" si="107"/>
        <v>0.92059999999999997</v>
      </c>
      <c r="Z231" s="390">
        <f t="shared" si="107"/>
        <v>0</v>
      </c>
      <c r="AA231" s="390">
        <f t="shared" si="107"/>
        <v>0</v>
      </c>
      <c r="AB231" s="390">
        <f t="shared" si="107"/>
        <v>0</v>
      </c>
      <c r="AC231" s="390">
        <f t="shared" si="107"/>
        <v>0</v>
      </c>
      <c r="AD231" s="390">
        <f t="shared" si="107"/>
        <v>0</v>
      </c>
      <c r="AE231" s="390">
        <f t="shared" si="107"/>
        <v>0</v>
      </c>
      <c r="AF231" s="390">
        <f t="shared" si="107"/>
        <v>0</v>
      </c>
      <c r="AG231" s="390">
        <f t="shared" si="107"/>
        <v>0</v>
      </c>
      <c r="AH231" s="390">
        <f t="shared" si="107"/>
        <v>0</v>
      </c>
      <c r="AI231" s="390">
        <f t="shared" si="107"/>
        <v>0</v>
      </c>
      <c r="AJ231" s="390">
        <f t="shared" si="107"/>
        <v>0</v>
      </c>
      <c r="AK231" s="390">
        <f t="shared" si="107"/>
        <v>0</v>
      </c>
      <c r="AL231" s="390">
        <f t="shared" si="107"/>
        <v>0</v>
      </c>
      <c r="AM231" s="390">
        <f t="shared" si="107"/>
        <v>0</v>
      </c>
      <c r="AN231" s="390">
        <f t="shared" si="107"/>
        <v>0</v>
      </c>
      <c r="AO231" s="390">
        <f t="shared" si="107"/>
        <v>0</v>
      </c>
      <c r="AP231" s="390">
        <f t="shared" si="107"/>
        <v>0</v>
      </c>
      <c r="AQ231" s="390">
        <f t="shared" si="107"/>
        <v>0</v>
      </c>
      <c r="AR231" s="390">
        <f t="shared" si="107"/>
        <v>0</v>
      </c>
      <c r="AS231" s="390">
        <f t="shared" si="107"/>
        <v>0</v>
      </c>
      <c r="AT231" s="390">
        <f t="shared" si="107"/>
        <v>0</v>
      </c>
      <c r="AU231" s="390">
        <f t="shared" si="107"/>
        <v>0</v>
      </c>
      <c r="AV231" s="390">
        <f t="shared" si="107"/>
        <v>0</v>
      </c>
      <c r="AW231" s="390">
        <f t="shared" si="107"/>
        <v>0</v>
      </c>
      <c r="AX231" s="390">
        <f t="shared" si="107"/>
        <v>0</v>
      </c>
      <c r="AY231" s="390">
        <f t="shared" si="107"/>
        <v>0</v>
      </c>
      <c r="AZ231" s="390">
        <f t="shared" si="107"/>
        <v>0</v>
      </c>
      <c r="BA231" s="391">
        <f t="shared" si="107"/>
        <v>0</v>
      </c>
    </row>
    <row r="232" spans="1:53" s="246" customFormat="1" outlineLevel="1">
      <c r="A232" s="244"/>
      <c r="B232" s="244"/>
      <c r="C232" s="1"/>
      <c r="D232" s="1"/>
      <c r="E232" s="369" t="s">
        <v>617</v>
      </c>
      <c r="F232" s="390">
        <f>+IF(F21&lt;&gt;0,ROUND(F30/F21,4),0)</f>
        <v>0.17630000000000001</v>
      </c>
      <c r="G232" s="390">
        <f>+IF(G21&lt;&gt;0,ROUND(G30/G21,4),0)</f>
        <v>0.20760000000000001</v>
      </c>
      <c r="H232" s="390">
        <f>+IF(H21&lt;&gt;0,ROUND(H30/H21,4),0)</f>
        <v>0.16139999999999999</v>
      </c>
      <c r="I232" s="390">
        <f>+IF(I21&lt;&gt;0,ROUND(I30/I21,4),0)</f>
        <v>0.2596</v>
      </c>
      <c r="J232" s="390">
        <f t="shared" ref="J232:BA232" si="108">+IF(J21&lt;&gt;0,ROUND(J30/J21,4),0)</f>
        <v>0.26329999999999998</v>
      </c>
      <c r="K232" s="390">
        <f t="shared" si="108"/>
        <v>0.26219999999999999</v>
      </c>
      <c r="L232" s="390">
        <f t="shared" si="108"/>
        <v>0.2767</v>
      </c>
      <c r="M232" s="390">
        <f t="shared" si="108"/>
        <v>0.24510000000000001</v>
      </c>
      <c r="N232" s="390">
        <f t="shared" si="108"/>
        <v>0.35199999999999998</v>
      </c>
      <c r="O232" s="390">
        <f t="shared" si="108"/>
        <v>0.31869999999999998</v>
      </c>
      <c r="P232" s="390">
        <f t="shared" si="108"/>
        <v>1.9900000000000001E-2</v>
      </c>
      <c r="Q232" s="390">
        <f t="shared" si="108"/>
        <v>3.0099999999999998E-2</v>
      </c>
      <c r="R232" s="390">
        <f t="shared" si="108"/>
        <v>4.1700000000000001E-2</v>
      </c>
      <c r="S232" s="390">
        <f t="shared" si="108"/>
        <v>5.2200000000000003E-2</v>
      </c>
      <c r="T232" s="390">
        <f t="shared" si="108"/>
        <v>6.9199999999999998E-2</v>
      </c>
      <c r="U232" s="390">
        <f t="shared" si="108"/>
        <v>7.5899999999999995E-2</v>
      </c>
      <c r="V232" s="390">
        <f t="shared" si="108"/>
        <v>8.0600000000000005E-2</v>
      </c>
      <c r="W232" s="390">
        <f t="shared" si="108"/>
        <v>8.43E-2</v>
      </c>
      <c r="X232" s="390">
        <f t="shared" si="108"/>
        <v>7.6899999999999996E-2</v>
      </c>
      <c r="Y232" s="390">
        <f t="shared" si="108"/>
        <v>7.9399999999999998E-2</v>
      </c>
      <c r="Z232" s="390">
        <f t="shared" si="108"/>
        <v>0</v>
      </c>
      <c r="AA232" s="390">
        <f t="shared" si="108"/>
        <v>0</v>
      </c>
      <c r="AB232" s="390">
        <f t="shared" si="108"/>
        <v>0</v>
      </c>
      <c r="AC232" s="390">
        <f t="shared" si="108"/>
        <v>0</v>
      </c>
      <c r="AD232" s="390">
        <f t="shared" si="108"/>
        <v>0</v>
      </c>
      <c r="AE232" s="390">
        <f t="shared" si="108"/>
        <v>0</v>
      </c>
      <c r="AF232" s="390">
        <f t="shared" si="108"/>
        <v>0</v>
      </c>
      <c r="AG232" s="390">
        <f t="shared" si="108"/>
        <v>0</v>
      </c>
      <c r="AH232" s="390">
        <f t="shared" si="108"/>
        <v>0</v>
      </c>
      <c r="AI232" s="390">
        <f t="shared" si="108"/>
        <v>0</v>
      </c>
      <c r="AJ232" s="390">
        <f t="shared" si="108"/>
        <v>0</v>
      </c>
      <c r="AK232" s="390">
        <f t="shared" si="108"/>
        <v>0</v>
      </c>
      <c r="AL232" s="390">
        <f t="shared" si="108"/>
        <v>0</v>
      </c>
      <c r="AM232" s="390">
        <f t="shared" si="108"/>
        <v>0</v>
      </c>
      <c r="AN232" s="390">
        <f t="shared" si="108"/>
        <v>0</v>
      </c>
      <c r="AO232" s="390">
        <f t="shared" si="108"/>
        <v>0</v>
      </c>
      <c r="AP232" s="390">
        <f t="shared" si="108"/>
        <v>0</v>
      </c>
      <c r="AQ232" s="390">
        <f t="shared" si="108"/>
        <v>0</v>
      </c>
      <c r="AR232" s="390">
        <f t="shared" si="108"/>
        <v>0</v>
      </c>
      <c r="AS232" s="390">
        <f t="shared" si="108"/>
        <v>0</v>
      </c>
      <c r="AT232" s="390">
        <f t="shared" si="108"/>
        <v>0</v>
      </c>
      <c r="AU232" s="390">
        <f t="shared" si="108"/>
        <v>0</v>
      </c>
      <c r="AV232" s="390">
        <f t="shared" si="108"/>
        <v>0</v>
      </c>
      <c r="AW232" s="390">
        <f t="shared" si="108"/>
        <v>0</v>
      </c>
      <c r="AX232" s="390">
        <f t="shared" si="108"/>
        <v>0</v>
      </c>
      <c r="AY232" s="390">
        <f t="shared" si="108"/>
        <v>0</v>
      </c>
      <c r="AZ232" s="390">
        <f t="shared" si="108"/>
        <v>0</v>
      </c>
      <c r="BA232" s="391">
        <f t="shared" si="108"/>
        <v>0</v>
      </c>
    </row>
    <row r="233" spans="1:53" s="246" customFormat="1" outlineLevel="1">
      <c r="A233" s="244"/>
      <c r="B233" s="244"/>
      <c r="C233" s="1"/>
      <c r="D233" s="1"/>
      <c r="E233" s="369" t="s">
        <v>618</v>
      </c>
      <c r="F233" s="390">
        <f>+IF(F22&lt;&gt;0,ROUND(F23/F22,4),0)</f>
        <v>0.65180000000000005</v>
      </c>
      <c r="G233" s="390">
        <f>+IF(G22&lt;&gt;0,ROUND(G23/G22,4),0)</f>
        <v>0.6452</v>
      </c>
      <c r="H233" s="390">
        <f>+IF(H22&lt;&gt;0,ROUND(H23/H22,4),0)</f>
        <v>0.63339999999999996</v>
      </c>
      <c r="I233" s="390">
        <f>+IF(I22&lt;&gt;0,ROUND(I23/I22,4),0)</f>
        <v>0.63480000000000003</v>
      </c>
      <c r="J233" s="390">
        <f t="shared" ref="J233:BA233" si="109">+IF(J22&lt;&gt;0,ROUND(J23/J22,4),0)</f>
        <v>0.63749999999999996</v>
      </c>
      <c r="K233" s="390">
        <f t="shared" si="109"/>
        <v>0.63859999999999995</v>
      </c>
      <c r="L233" s="390">
        <f t="shared" si="109"/>
        <v>0.63160000000000005</v>
      </c>
      <c r="M233" s="390">
        <f t="shared" si="109"/>
        <v>0.64639999999999997</v>
      </c>
      <c r="N233" s="390">
        <f t="shared" si="109"/>
        <v>0.63819999999999999</v>
      </c>
      <c r="O233" s="390">
        <f t="shared" si="109"/>
        <v>0.64770000000000005</v>
      </c>
      <c r="P233" s="390">
        <f t="shared" si="109"/>
        <v>0.64870000000000005</v>
      </c>
      <c r="Q233" s="390">
        <f t="shared" si="109"/>
        <v>0.64959999999999996</v>
      </c>
      <c r="R233" s="390">
        <f t="shared" si="109"/>
        <v>0.65059999999999996</v>
      </c>
      <c r="S233" s="390">
        <f t="shared" si="109"/>
        <v>0.65139999999999998</v>
      </c>
      <c r="T233" s="390">
        <f t="shared" si="109"/>
        <v>0.6522</v>
      </c>
      <c r="U233" s="390">
        <f t="shared" si="109"/>
        <v>0.65280000000000005</v>
      </c>
      <c r="V233" s="390">
        <f t="shared" si="109"/>
        <v>0.6532</v>
      </c>
      <c r="W233" s="390">
        <f t="shared" si="109"/>
        <v>0.65369999999999995</v>
      </c>
      <c r="X233" s="390">
        <f t="shared" si="109"/>
        <v>0.6542</v>
      </c>
      <c r="Y233" s="390">
        <f t="shared" si="109"/>
        <v>0.65490000000000004</v>
      </c>
      <c r="Z233" s="390">
        <f t="shared" si="109"/>
        <v>0</v>
      </c>
      <c r="AA233" s="390">
        <f t="shared" si="109"/>
        <v>0</v>
      </c>
      <c r="AB233" s="390">
        <f t="shared" si="109"/>
        <v>0</v>
      </c>
      <c r="AC233" s="390">
        <f t="shared" si="109"/>
        <v>0</v>
      </c>
      <c r="AD233" s="390">
        <f t="shared" si="109"/>
        <v>0</v>
      </c>
      <c r="AE233" s="390">
        <f t="shared" si="109"/>
        <v>0</v>
      </c>
      <c r="AF233" s="390">
        <f t="shared" si="109"/>
        <v>0</v>
      </c>
      <c r="AG233" s="390">
        <f t="shared" si="109"/>
        <v>0</v>
      </c>
      <c r="AH233" s="390">
        <f t="shared" si="109"/>
        <v>0</v>
      </c>
      <c r="AI233" s="390">
        <f t="shared" si="109"/>
        <v>0</v>
      </c>
      <c r="AJ233" s="390">
        <f t="shared" si="109"/>
        <v>0</v>
      </c>
      <c r="AK233" s="390">
        <f t="shared" si="109"/>
        <v>0</v>
      </c>
      <c r="AL233" s="390">
        <f t="shared" si="109"/>
        <v>0</v>
      </c>
      <c r="AM233" s="390">
        <f t="shared" si="109"/>
        <v>0</v>
      </c>
      <c r="AN233" s="390">
        <f t="shared" si="109"/>
        <v>0</v>
      </c>
      <c r="AO233" s="390">
        <f t="shared" si="109"/>
        <v>0</v>
      </c>
      <c r="AP233" s="390">
        <f t="shared" si="109"/>
        <v>0</v>
      </c>
      <c r="AQ233" s="390">
        <f t="shared" si="109"/>
        <v>0</v>
      </c>
      <c r="AR233" s="390">
        <f t="shared" si="109"/>
        <v>0</v>
      </c>
      <c r="AS233" s="390">
        <f t="shared" si="109"/>
        <v>0</v>
      </c>
      <c r="AT233" s="390">
        <f t="shared" si="109"/>
        <v>0</v>
      </c>
      <c r="AU233" s="390">
        <f t="shared" si="109"/>
        <v>0</v>
      </c>
      <c r="AV233" s="390">
        <f t="shared" si="109"/>
        <v>0</v>
      </c>
      <c r="AW233" s="390">
        <f t="shared" si="109"/>
        <v>0</v>
      </c>
      <c r="AX233" s="390">
        <f t="shared" si="109"/>
        <v>0</v>
      </c>
      <c r="AY233" s="390">
        <f t="shared" si="109"/>
        <v>0</v>
      </c>
      <c r="AZ233" s="390">
        <f t="shared" si="109"/>
        <v>0</v>
      </c>
      <c r="BA233" s="391">
        <f t="shared" si="109"/>
        <v>0</v>
      </c>
    </row>
    <row r="234" spans="1:53" s="246" customFormat="1" outlineLevel="1">
      <c r="A234" s="244"/>
      <c r="B234" s="244"/>
      <c r="C234" s="1"/>
      <c r="D234" s="1"/>
      <c r="E234" s="393" t="s">
        <v>619</v>
      </c>
      <c r="F234" s="394">
        <f>+IF(F22&lt;&gt;0,ROUND(F26/F22,4),0)</f>
        <v>1.67E-2</v>
      </c>
      <c r="G234" s="394">
        <f>+IF(G22&lt;&gt;0,ROUND(G26/G22,4),0)</f>
        <v>1.5800000000000002E-2</v>
      </c>
      <c r="H234" s="394">
        <f>+IF(H22&lt;&gt;0,ROUND(H26/H22,4),0)</f>
        <v>1.38E-2</v>
      </c>
      <c r="I234" s="394">
        <f>+IF(I22&lt;&gt;0,ROUND(I26/I22,4),0)</f>
        <v>1.32E-2</v>
      </c>
      <c r="J234" s="394">
        <f t="shared" ref="J234:BA234" si="110">+IF(J22&lt;&gt;0,ROUND(J26/J22,4),0)</f>
        <v>1.09E-2</v>
      </c>
      <c r="K234" s="394">
        <f t="shared" si="110"/>
        <v>9.4999999999999998E-3</v>
      </c>
      <c r="L234" s="394">
        <f t="shared" si="110"/>
        <v>6.7000000000000002E-3</v>
      </c>
      <c r="M234" s="394">
        <f t="shared" si="110"/>
        <v>5.8999999999999999E-3</v>
      </c>
      <c r="N234" s="394">
        <f t="shared" si="110"/>
        <v>7.1999999999999998E-3</v>
      </c>
      <c r="O234" s="394">
        <f t="shared" si="110"/>
        <v>1.14E-2</v>
      </c>
      <c r="P234" s="394">
        <f t="shared" si="110"/>
        <v>9.9000000000000008E-3</v>
      </c>
      <c r="Q234" s="394">
        <f t="shared" si="110"/>
        <v>8.5000000000000006E-3</v>
      </c>
      <c r="R234" s="394">
        <f t="shared" si="110"/>
        <v>7.1000000000000004E-3</v>
      </c>
      <c r="S234" s="394">
        <f t="shared" si="110"/>
        <v>5.7999999999999996E-3</v>
      </c>
      <c r="T234" s="394">
        <f t="shared" si="110"/>
        <v>4.5999999999999999E-3</v>
      </c>
      <c r="U234" s="394">
        <f t="shared" si="110"/>
        <v>3.8E-3</v>
      </c>
      <c r="V234" s="394">
        <f t="shared" si="110"/>
        <v>3.0000000000000001E-3</v>
      </c>
      <c r="W234" s="394">
        <f t="shared" si="110"/>
        <v>2.3E-3</v>
      </c>
      <c r="X234" s="394">
        <f t="shared" si="110"/>
        <v>1.5E-3</v>
      </c>
      <c r="Y234" s="394">
        <f t="shared" si="110"/>
        <v>5.0000000000000001E-4</v>
      </c>
      <c r="Z234" s="394">
        <f t="shared" si="110"/>
        <v>0</v>
      </c>
      <c r="AA234" s="394">
        <f t="shared" si="110"/>
        <v>0</v>
      </c>
      <c r="AB234" s="394">
        <f t="shared" si="110"/>
        <v>0</v>
      </c>
      <c r="AC234" s="394">
        <f t="shared" si="110"/>
        <v>0</v>
      </c>
      <c r="AD234" s="394">
        <f t="shared" si="110"/>
        <v>0</v>
      </c>
      <c r="AE234" s="394">
        <f t="shared" si="110"/>
        <v>0</v>
      </c>
      <c r="AF234" s="394">
        <f t="shared" si="110"/>
        <v>0</v>
      </c>
      <c r="AG234" s="394">
        <f t="shared" si="110"/>
        <v>0</v>
      </c>
      <c r="AH234" s="394">
        <f t="shared" si="110"/>
        <v>0</v>
      </c>
      <c r="AI234" s="394">
        <f t="shared" si="110"/>
        <v>0</v>
      </c>
      <c r="AJ234" s="394">
        <f t="shared" si="110"/>
        <v>0</v>
      </c>
      <c r="AK234" s="394">
        <f t="shared" si="110"/>
        <v>0</v>
      </c>
      <c r="AL234" s="394">
        <f t="shared" si="110"/>
        <v>0</v>
      </c>
      <c r="AM234" s="394">
        <f t="shared" si="110"/>
        <v>0</v>
      </c>
      <c r="AN234" s="394">
        <f t="shared" si="110"/>
        <v>0</v>
      </c>
      <c r="AO234" s="394">
        <f t="shared" si="110"/>
        <v>0</v>
      </c>
      <c r="AP234" s="394">
        <f t="shared" si="110"/>
        <v>0</v>
      </c>
      <c r="AQ234" s="394">
        <f t="shared" si="110"/>
        <v>0</v>
      </c>
      <c r="AR234" s="394">
        <f t="shared" si="110"/>
        <v>0</v>
      </c>
      <c r="AS234" s="394">
        <f t="shared" si="110"/>
        <v>0</v>
      </c>
      <c r="AT234" s="394">
        <f t="shared" si="110"/>
        <v>0</v>
      </c>
      <c r="AU234" s="394">
        <f t="shared" si="110"/>
        <v>0</v>
      </c>
      <c r="AV234" s="394">
        <f t="shared" si="110"/>
        <v>0</v>
      </c>
      <c r="AW234" s="394">
        <f t="shared" si="110"/>
        <v>0</v>
      </c>
      <c r="AX234" s="394">
        <f t="shared" si="110"/>
        <v>0</v>
      </c>
      <c r="AY234" s="394">
        <f t="shared" si="110"/>
        <v>0</v>
      </c>
      <c r="AZ234" s="394">
        <f t="shared" si="110"/>
        <v>0</v>
      </c>
      <c r="BA234" s="395">
        <f t="shared" si="110"/>
        <v>0</v>
      </c>
    </row>
    <row r="235" spans="1:53" s="246" customFormat="1" outlineLevel="1">
      <c r="A235" s="244"/>
      <c r="B235" s="244"/>
      <c r="C235" s="1"/>
      <c r="D235" s="1"/>
      <c r="E235" s="365" t="s">
        <v>620</v>
      </c>
      <c r="F235" s="365"/>
      <c r="G235" s="365"/>
      <c r="H235" s="365"/>
      <c r="I235" s="365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</row>
    <row r="236" spans="1:53" s="246" customFormat="1" outlineLevel="1">
      <c r="A236" s="244"/>
      <c r="B236" s="244"/>
      <c r="C236" s="1"/>
      <c r="D236" s="1"/>
      <c r="E236" s="374" t="s">
        <v>527</v>
      </c>
      <c r="F236" s="397" t="s">
        <v>27</v>
      </c>
      <c r="G236" s="398">
        <f t="shared" ref="G236:K237" si="111">+G57-F57</f>
        <v>0</v>
      </c>
      <c r="H236" s="398">
        <f t="shared" si="111"/>
        <v>0</v>
      </c>
      <c r="I236" s="398">
        <f t="shared" si="111"/>
        <v>0</v>
      </c>
      <c r="J236" s="398">
        <f t="shared" si="111"/>
        <v>11915000</v>
      </c>
      <c r="K236" s="398">
        <f t="shared" si="111"/>
        <v>0</v>
      </c>
      <c r="L236" s="397" t="s">
        <v>27</v>
      </c>
      <c r="M236" s="398">
        <f>+M57-K57</f>
        <v>0</v>
      </c>
      <c r="N236" s="398">
        <f t="shared" ref="N236:BA237" si="112">+N57-M57</f>
        <v>6500000</v>
      </c>
      <c r="O236" s="398">
        <f t="shared" si="112"/>
        <v>-1000000</v>
      </c>
      <c r="P236" s="398">
        <f t="shared" si="112"/>
        <v>-1915000</v>
      </c>
      <c r="Q236" s="398">
        <f t="shared" si="112"/>
        <v>-2000000</v>
      </c>
      <c r="R236" s="398">
        <f t="shared" si="112"/>
        <v>-2000000</v>
      </c>
      <c r="S236" s="398">
        <f t="shared" si="112"/>
        <v>-2000000</v>
      </c>
      <c r="T236" s="398">
        <f t="shared" si="112"/>
        <v>-1500000</v>
      </c>
      <c r="U236" s="398">
        <f t="shared" si="112"/>
        <v>-1500000</v>
      </c>
      <c r="V236" s="398">
        <f t="shared" si="112"/>
        <v>-1500000</v>
      </c>
      <c r="W236" s="398">
        <f t="shared" si="112"/>
        <v>-1500000</v>
      </c>
      <c r="X236" s="398">
        <f t="shared" si="112"/>
        <v>-1750000</v>
      </c>
      <c r="Y236" s="398">
        <f t="shared" si="112"/>
        <v>-1750000</v>
      </c>
      <c r="Z236" s="398">
        <f t="shared" si="112"/>
        <v>0</v>
      </c>
      <c r="AA236" s="398">
        <f t="shared" si="112"/>
        <v>0</v>
      </c>
      <c r="AB236" s="398">
        <f t="shared" si="112"/>
        <v>0</v>
      </c>
      <c r="AC236" s="398">
        <f t="shared" si="112"/>
        <v>0</v>
      </c>
      <c r="AD236" s="398">
        <f t="shared" si="112"/>
        <v>0</v>
      </c>
      <c r="AE236" s="398">
        <f t="shared" si="112"/>
        <v>0</v>
      </c>
      <c r="AF236" s="398">
        <f t="shared" si="112"/>
        <v>0</v>
      </c>
      <c r="AG236" s="398">
        <f t="shared" si="112"/>
        <v>0</v>
      </c>
      <c r="AH236" s="398">
        <f t="shared" si="112"/>
        <v>0</v>
      </c>
      <c r="AI236" s="398">
        <f t="shared" si="112"/>
        <v>0</v>
      </c>
      <c r="AJ236" s="398">
        <f t="shared" si="112"/>
        <v>0</v>
      </c>
      <c r="AK236" s="398">
        <f t="shared" si="112"/>
        <v>0</v>
      </c>
      <c r="AL236" s="398">
        <f t="shared" si="112"/>
        <v>0</v>
      </c>
      <c r="AM236" s="398">
        <f t="shared" si="112"/>
        <v>0</v>
      </c>
      <c r="AN236" s="398">
        <f t="shared" si="112"/>
        <v>0</v>
      </c>
      <c r="AO236" s="398">
        <f t="shared" si="112"/>
        <v>0</v>
      </c>
      <c r="AP236" s="398">
        <f t="shared" si="112"/>
        <v>0</v>
      </c>
      <c r="AQ236" s="398">
        <f t="shared" si="112"/>
        <v>0</v>
      </c>
      <c r="AR236" s="398">
        <f t="shared" si="112"/>
        <v>0</v>
      </c>
      <c r="AS236" s="398">
        <f t="shared" si="112"/>
        <v>0</v>
      </c>
      <c r="AT236" s="398">
        <f t="shared" si="112"/>
        <v>0</v>
      </c>
      <c r="AU236" s="398">
        <f t="shared" si="112"/>
        <v>0</v>
      </c>
      <c r="AV236" s="398">
        <f t="shared" si="112"/>
        <v>0</v>
      </c>
      <c r="AW236" s="398">
        <f t="shared" si="112"/>
        <v>0</v>
      </c>
      <c r="AX236" s="398">
        <f t="shared" si="112"/>
        <v>0</v>
      </c>
      <c r="AY236" s="398">
        <f t="shared" si="112"/>
        <v>0</v>
      </c>
      <c r="AZ236" s="398">
        <f t="shared" si="112"/>
        <v>0</v>
      </c>
      <c r="BA236" s="399">
        <f t="shared" si="112"/>
        <v>0</v>
      </c>
    </row>
    <row r="237" spans="1:53" s="246" customFormat="1" outlineLevel="1">
      <c r="A237" s="244"/>
      <c r="B237" s="244"/>
      <c r="C237" s="1"/>
      <c r="D237" s="1"/>
      <c r="E237" s="392" t="s">
        <v>528</v>
      </c>
      <c r="F237" s="400" t="s">
        <v>27</v>
      </c>
      <c r="G237" s="401">
        <f t="shared" si="111"/>
        <v>0</v>
      </c>
      <c r="H237" s="401">
        <f t="shared" si="111"/>
        <v>0</v>
      </c>
      <c r="I237" s="401">
        <f t="shared" si="111"/>
        <v>0</v>
      </c>
      <c r="J237" s="401">
        <f t="shared" si="111"/>
        <v>0</v>
      </c>
      <c r="K237" s="401">
        <f t="shared" si="111"/>
        <v>0</v>
      </c>
      <c r="L237" s="400" t="s">
        <v>27</v>
      </c>
      <c r="M237" s="401">
        <f>+M58-K58</f>
        <v>0</v>
      </c>
      <c r="N237" s="401">
        <f t="shared" si="112"/>
        <v>0</v>
      </c>
      <c r="O237" s="401">
        <f t="shared" si="112"/>
        <v>0</v>
      </c>
      <c r="P237" s="401">
        <f t="shared" si="112"/>
        <v>0</v>
      </c>
      <c r="Q237" s="401">
        <f t="shared" si="112"/>
        <v>0</v>
      </c>
      <c r="R237" s="401">
        <f t="shared" si="112"/>
        <v>0</v>
      </c>
      <c r="S237" s="401">
        <f t="shared" si="112"/>
        <v>0</v>
      </c>
      <c r="T237" s="401">
        <f t="shared" si="112"/>
        <v>0</v>
      </c>
      <c r="U237" s="401">
        <f t="shared" si="112"/>
        <v>0</v>
      </c>
      <c r="V237" s="401">
        <f t="shared" si="112"/>
        <v>0</v>
      </c>
      <c r="W237" s="401">
        <f t="shared" si="112"/>
        <v>0</v>
      </c>
      <c r="X237" s="401">
        <f t="shared" si="112"/>
        <v>0</v>
      </c>
      <c r="Y237" s="401">
        <f t="shared" si="112"/>
        <v>0</v>
      </c>
      <c r="Z237" s="401">
        <f t="shared" si="112"/>
        <v>0</v>
      </c>
      <c r="AA237" s="401">
        <f t="shared" si="112"/>
        <v>0</v>
      </c>
      <c r="AB237" s="401">
        <f t="shared" si="112"/>
        <v>0</v>
      </c>
      <c r="AC237" s="401">
        <f t="shared" si="112"/>
        <v>0</v>
      </c>
      <c r="AD237" s="401">
        <f t="shared" si="112"/>
        <v>0</v>
      </c>
      <c r="AE237" s="401">
        <f t="shared" si="112"/>
        <v>0</v>
      </c>
      <c r="AF237" s="401">
        <f t="shared" si="112"/>
        <v>0</v>
      </c>
      <c r="AG237" s="401">
        <f t="shared" si="112"/>
        <v>0</v>
      </c>
      <c r="AH237" s="401">
        <f t="shared" si="112"/>
        <v>0</v>
      </c>
      <c r="AI237" s="401">
        <f t="shared" si="112"/>
        <v>0</v>
      </c>
      <c r="AJ237" s="401">
        <f t="shared" si="112"/>
        <v>0</v>
      </c>
      <c r="AK237" s="401">
        <f t="shared" si="112"/>
        <v>0</v>
      </c>
      <c r="AL237" s="401">
        <f t="shared" si="112"/>
        <v>0</v>
      </c>
      <c r="AM237" s="401">
        <f t="shared" si="112"/>
        <v>0</v>
      </c>
      <c r="AN237" s="401">
        <f t="shared" si="112"/>
        <v>0</v>
      </c>
      <c r="AO237" s="401">
        <f t="shared" si="112"/>
        <v>0</v>
      </c>
      <c r="AP237" s="401">
        <f t="shared" si="112"/>
        <v>0</v>
      </c>
      <c r="AQ237" s="401">
        <f t="shared" si="112"/>
        <v>0</v>
      </c>
      <c r="AR237" s="401">
        <f t="shared" si="112"/>
        <v>0</v>
      </c>
      <c r="AS237" s="401">
        <f t="shared" si="112"/>
        <v>0</v>
      </c>
      <c r="AT237" s="401">
        <f t="shared" si="112"/>
        <v>0</v>
      </c>
      <c r="AU237" s="401">
        <f t="shared" si="112"/>
        <v>0</v>
      </c>
      <c r="AV237" s="401">
        <f t="shared" si="112"/>
        <v>0</v>
      </c>
      <c r="AW237" s="401">
        <f t="shared" si="112"/>
        <v>0</v>
      </c>
      <c r="AX237" s="401">
        <f t="shared" si="112"/>
        <v>0</v>
      </c>
      <c r="AY237" s="401">
        <f t="shared" si="112"/>
        <v>0</v>
      </c>
      <c r="AZ237" s="401">
        <f t="shared" si="112"/>
        <v>0</v>
      </c>
      <c r="BA237" s="402">
        <f t="shared" si="112"/>
        <v>0</v>
      </c>
    </row>
    <row r="238" spans="1:53" s="246" customFormat="1" outlineLevel="1">
      <c r="A238" s="244"/>
      <c r="B238" s="244"/>
      <c r="C238" s="1"/>
      <c r="D238" s="1"/>
      <c r="E238" s="392" t="s">
        <v>467</v>
      </c>
      <c r="F238" s="401">
        <f>+F30-F93</f>
        <v>6770370.9699999997</v>
      </c>
      <c r="G238" s="401">
        <f>+G30-G93</f>
        <v>8428567.9800000004</v>
      </c>
      <c r="H238" s="401">
        <f>+H30-H93</f>
        <v>6638090.5300000003</v>
      </c>
      <c r="I238" s="401">
        <f>+I30-I93</f>
        <v>12699810.439999999</v>
      </c>
      <c r="J238" s="401">
        <f>+J30-J93</f>
        <v>14101467.33</v>
      </c>
      <c r="K238" s="401">
        <f t="shared" ref="K238:BA238" si="113">+K30-K93</f>
        <v>15388364.119999999</v>
      </c>
      <c r="L238" s="401">
        <f t="shared" si="113"/>
        <v>13109682</v>
      </c>
      <c r="M238" s="401">
        <f t="shared" si="113"/>
        <v>10356329.970000001</v>
      </c>
      <c r="N238" s="401">
        <f t="shared" si="113"/>
        <v>19304888</v>
      </c>
      <c r="O238" s="401">
        <f t="shared" si="113"/>
        <v>267854</v>
      </c>
      <c r="P238" s="401">
        <f t="shared" si="113"/>
        <v>30284</v>
      </c>
      <c r="Q238" s="401">
        <f t="shared" si="113"/>
        <v>613533</v>
      </c>
      <c r="R238" s="401">
        <f t="shared" si="113"/>
        <v>2316905</v>
      </c>
      <c r="S238" s="401">
        <f t="shared" si="113"/>
        <v>2998543</v>
      </c>
      <c r="T238" s="401">
        <f t="shared" si="113"/>
        <v>4146159</v>
      </c>
      <c r="U238" s="401">
        <f t="shared" si="113"/>
        <v>4690393</v>
      </c>
      <c r="V238" s="401">
        <f t="shared" si="113"/>
        <v>5126926</v>
      </c>
      <c r="W238" s="401">
        <f t="shared" si="113"/>
        <v>5514120</v>
      </c>
      <c r="X238" s="401">
        <f t="shared" si="113"/>
        <v>5111826</v>
      </c>
      <c r="Y238" s="401">
        <f t="shared" si="113"/>
        <v>5415107</v>
      </c>
      <c r="Z238" s="401">
        <f t="shared" si="113"/>
        <v>0</v>
      </c>
      <c r="AA238" s="401">
        <f t="shared" si="113"/>
        <v>0</v>
      </c>
      <c r="AB238" s="401">
        <f t="shared" si="113"/>
        <v>0</v>
      </c>
      <c r="AC238" s="401">
        <f t="shared" si="113"/>
        <v>0</v>
      </c>
      <c r="AD238" s="401">
        <f t="shared" si="113"/>
        <v>0</v>
      </c>
      <c r="AE238" s="401">
        <f t="shared" si="113"/>
        <v>0</v>
      </c>
      <c r="AF238" s="401">
        <f t="shared" si="113"/>
        <v>0</v>
      </c>
      <c r="AG238" s="401">
        <f t="shared" si="113"/>
        <v>0</v>
      </c>
      <c r="AH238" s="401">
        <f t="shared" si="113"/>
        <v>0</v>
      </c>
      <c r="AI238" s="401">
        <f t="shared" si="113"/>
        <v>0</v>
      </c>
      <c r="AJ238" s="401">
        <f t="shared" si="113"/>
        <v>0</v>
      </c>
      <c r="AK238" s="401">
        <f t="shared" si="113"/>
        <v>0</v>
      </c>
      <c r="AL238" s="401">
        <f t="shared" si="113"/>
        <v>0</v>
      </c>
      <c r="AM238" s="401">
        <f t="shared" si="113"/>
        <v>0</v>
      </c>
      <c r="AN238" s="401">
        <f t="shared" si="113"/>
        <v>0</v>
      </c>
      <c r="AO238" s="401">
        <f t="shared" si="113"/>
        <v>0</v>
      </c>
      <c r="AP238" s="401">
        <f t="shared" si="113"/>
        <v>0</v>
      </c>
      <c r="AQ238" s="401">
        <f t="shared" si="113"/>
        <v>0</v>
      </c>
      <c r="AR238" s="401">
        <f t="shared" si="113"/>
        <v>0</v>
      </c>
      <c r="AS238" s="401">
        <f t="shared" si="113"/>
        <v>0</v>
      </c>
      <c r="AT238" s="401">
        <f t="shared" si="113"/>
        <v>0</v>
      </c>
      <c r="AU238" s="401">
        <f t="shared" si="113"/>
        <v>0</v>
      </c>
      <c r="AV238" s="401">
        <f t="shared" si="113"/>
        <v>0</v>
      </c>
      <c r="AW238" s="401">
        <f t="shared" si="113"/>
        <v>0</v>
      </c>
      <c r="AX238" s="401">
        <f t="shared" si="113"/>
        <v>0</v>
      </c>
      <c r="AY238" s="401">
        <f t="shared" si="113"/>
        <v>0</v>
      </c>
      <c r="AZ238" s="401">
        <f t="shared" si="113"/>
        <v>0</v>
      </c>
      <c r="BA238" s="402">
        <f t="shared" si="113"/>
        <v>0</v>
      </c>
    </row>
    <row r="239" spans="1:53" s="246" customFormat="1" outlineLevel="1">
      <c r="A239" s="244"/>
      <c r="B239" s="244"/>
      <c r="C239" s="1"/>
      <c r="D239" s="1"/>
      <c r="E239" s="392" t="s">
        <v>695</v>
      </c>
      <c r="F239" s="497">
        <f>+F30-F87</f>
        <v>6770370.9699999997</v>
      </c>
      <c r="G239" s="497">
        <f>+G30-G87</f>
        <v>8428567.9800000004</v>
      </c>
      <c r="H239" s="497">
        <f>+H30-H87</f>
        <v>6170651.3799999999</v>
      </c>
      <c r="I239" s="497">
        <f>+I30-I87</f>
        <v>6345280.8799999999</v>
      </c>
      <c r="J239" s="497">
        <f>+J30-J87</f>
        <v>6893812.2999999998</v>
      </c>
      <c r="K239" s="497">
        <f t="shared" ref="K239:BA239" si="114">+K30-K87</f>
        <v>13118106.149999999</v>
      </c>
      <c r="L239" s="497">
        <f t="shared" si="114"/>
        <v>18219988</v>
      </c>
      <c r="M239" s="497">
        <f t="shared" si="114"/>
        <v>15466635.970000001</v>
      </c>
      <c r="N239" s="497">
        <f t="shared" si="114"/>
        <v>26534888</v>
      </c>
      <c r="O239" s="497">
        <f t="shared" si="114"/>
        <v>22154854</v>
      </c>
      <c r="P239" s="497">
        <f t="shared" si="114"/>
        <v>1030284</v>
      </c>
      <c r="Q239" s="497">
        <f t="shared" si="114"/>
        <v>1613533</v>
      </c>
      <c r="R239" s="497">
        <f t="shared" si="114"/>
        <v>2316905</v>
      </c>
      <c r="S239" s="497">
        <f t="shared" si="114"/>
        <v>2998543</v>
      </c>
      <c r="T239" s="497">
        <f t="shared" si="114"/>
        <v>4146159</v>
      </c>
      <c r="U239" s="497">
        <f t="shared" si="114"/>
        <v>4690393</v>
      </c>
      <c r="V239" s="497">
        <f t="shared" si="114"/>
        <v>5126926</v>
      </c>
      <c r="W239" s="497">
        <f t="shared" si="114"/>
        <v>5514120</v>
      </c>
      <c r="X239" s="497">
        <f t="shared" si="114"/>
        <v>5111826</v>
      </c>
      <c r="Y239" s="497">
        <f t="shared" si="114"/>
        <v>5415107</v>
      </c>
      <c r="Z239" s="497">
        <f t="shared" si="114"/>
        <v>0</v>
      </c>
      <c r="AA239" s="497">
        <f t="shared" si="114"/>
        <v>0</v>
      </c>
      <c r="AB239" s="497">
        <f t="shared" si="114"/>
        <v>0</v>
      </c>
      <c r="AC239" s="497">
        <f t="shared" si="114"/>
        <v>0</v>
      </c>
      <c r="AD239" s="497">
        <f t="shared" si="114"/>
        <v>0</v>
      </c>
      <c r="AE239" s="497">
        <f t="shared" si="114"/>
        <v>0</v>
      </c>
      <c r="AF239" s="497">
        <f t="shared" si="114"/>
        <v>0</v>
      </c>
      <c r="AG239" s="497">
        <f t="shared" si="114"/>
        <v>0</v>
      </c>
      <c r="AH239" s="497">
        <f t="shared" si="114"/>
        <v>0</v>
      </c>
      <c r="AI239" s="497">
        <f t="shared" si="114"/>
        <v>0</v>
      </c>
      <c r="AJ239" s="497">
        <f t="shared" si="114"/>
        <v>0</v>
      </c>
      <c r="AK239" s="497">
        <f t="shared" si="114"/>
        <v>0</v>
      </c>
      <c r="AL239" s="497">
        <f t="shared" si="114"/>
        <v>0</v>
      </c>
      <c r="AM239" s="497">
        <f t="shared" si="114"/>
        <v>0</v>
      </c>
      <c r="AN239" s="497">
        <f t="shared" si="114"/>
        <v>0</v>
      </c>
      <c r="AO239" s="497">
        <f t="shared" si="114"/>
        <v>0</v>
      </c>
      <c r="AP239" s="497">
        <f t="shared" si="114"/>
        <v>0</v>
      </c>
      <c r="AQ239" s="497">
        <f t="shared" si="114"/>
        <v>0</v>
      </c>
      <c r="AR239" s="497">
        <f t="shared" si="114"/>
        <v>0</v>
      </c>
      <c r="AS239" s="497">
        <f t="shared" si="114"/>
        <v>0</v>
      </c>
      <c r="AT239" s="497">
        <f t="shared" si="114"/>
        <v>0</v>
      </c>
      <c r="AU239" s="497">
        <f t="shared" si="114"/>
        <v>0</v>
      </c>
      <c r="AV239" s="497">
        <f t="shared" si="114"/>
        <v>0</v>
      </c>
      <c r="AW239" s="497">
        <f t="shared" si="114"/>
        <v>0</v>
      </c>
      <c r="AX239" s="497">
        <f t="shared" si="114"/>
        <v>0</v>
      </c>
      <c r="AY239" s="497">
        <f t="shared" si="114"/>
        <v>0</v>
      </c>
      <c r="AZ239" s="497">
        <f t="shared" si="114"/>
        <v>0</v>
      </c>
      <c r="BA239" s="498">
        <f t="shared" si="114"/>
        <v>0</v>
      </c>
    </row>
    <row r="240" spans="1:53" s="246" customFormat="1" outlineLevel="1">
      <c r="A240" s="244"/>
      <c r="B240" s="244"/>
      <c r="C240" s="1"/>
      <c r="D240" s="1"/>
      <c r="E240" s="375" t="s">
        <v>468</v>
      </c>
      <c r="F240" s="403">
        <f>+F47-F98</f>
        <v>0</v>
      </c>
      <c r="G240" s="403">
        <f>+G47-G98</f>
        <v>0</v>
      </c>
      <c r="H240" s="403">
        <f>+H47-H98</f>
        <v>0</v>
      </c>
      <c r="I240" s="403">
        <f>+I47-I98</f>
        <v>0</v>
      </c>
      <c r="J240" s="403">
        <f>+J47-J98</f>
        <v>0</v>
      </c>
      <c r="K240" s="403">
        <f t="shared" ref="K240:BA240" si="115">+K47-K98</f>
        <v>0</v>
      </c>
      <c r="L240" s="403">
        <f t="shared" si="115"/>
        <v>0</v>
      </c>
      <c r="M240" s="403">
        <f t="shared" si="115"/>
        <v>0</v>
      </c>
      <c r="N240" s="403">
        <f t="shared" si="115"/>
        <v>0</v>
      </c>
      <c r="O240" s="403">
        <f t="shared" si="115"/>
        <v>0</v>
      </c>
      <c r="P240" s="403">
        <f t="shared" si="115"/>
        <v>0</v>
      </c>
      <c r="Q240" s="403">
        <f t="shared" si="115"/>
        <v>0</v>
      </c>
      <c r="R240" s="403">
        <f t="shared" si="115"/>
        <v>0</v>
      </c>
      <c r="S240" s="403">
        <f t="shared" si="115"/>
        <v>0</v>
      </c>
      <c r="T240" s="403">
        <f t="shared" si="115"/>
        <v>0</v>
      </c>
      <c r="U240" s="403">
        <f t="shared" si="115"/>
        <v>1000000</v>
      </c>
      <c r="V240" s="403">
        <f t="shared" si="115"/>
        <v>1500000</v>
      </c>
      <c r="W240" s="403">
        <f t="shared" si="115"/>
        <v>1500000</v>
      </c>
      <c r="X240" s="403">
        <f t="shared" si="115"/>
        <v>1750000</v>
      </c>
      <c r="Y240" s="403">
        <f t="shared" si="115"/>
        <v>1750000</v>
      </c>
      <c r="Z240" s="403">
        <f t="shared" si="115"/>
        <v>0</v>
      </c>
      <c r="AA240" s="403">
        <f t="shared" si="115"/>
        <v>0</v>
      </c>
      <c r="AB240" s="403">
        <f t="shared" si="115"/>
        <v>0</v>
      </c>
      <c r="AC240" s="403">
        <f t="shared" si="115"/>
        <v>0</v>
      </c>
      <c r="AD240" s="403">
        <f t="shared" si="115"/>
        <v>0</v>
      </c>
      <c r="AE240" s="403">
        <f t="shared" si="115"/>
        <v>0</v>
      </c>
      <c r="AF240" s="403">
        <f t="shared" si="115"/>
        <v>0</v>
      </c>
      <c r="AG240" s="403">
        <f t="shared" si="115"/>
        <v>0</v>
      </c>
      <c r="AH240" s="403">
        <f t="shared" si="115"/>
        <v>0</v>
      </c>
      <c r="AI240" s="403">
        <f t="shared" si="115"/>
        <v>0</v>
      </c>
      <c r="AJ240" s="403">
        <f t="shared" si="115"/>
        <v>0</v>
      </c>
      <c r="AK240" s="403">
        <f t="shared" si="115"/>
        <v>0</v>
      </c>
      <c r="AL240" s="403">
        <f t="shared" si="115"/>
        <v>0</v>
      </c>
      <c r="AM240" s="403">
        <f t="shared" si="115"/>
        <v>0</v>
      </c>
      <c r="AN240" s="403">
        <f t="shared" si="115"/>
        <v>0</v>
      </c>
      <c r="AO240" s="403">
        <f t="shared" si="115"/>
        <v>0</v>
      </c>
      <c r="AP240" s="403">
        <f t="shared" si="115"/>
        <v>0</v>
      </c>
      <c r="AQ240" s="403">
        <f t="shared" si="115"/>
        <v>0</v>
      </c>
      <c r="AR240" s="403">
        <f t="shared" si="115"/>
        <v>0</v>
      </c>
      <c r="AS240" s="403">
        <f t="shared" si="115"/>
        <v>0</v>
      </c>
      <c r="AT240" s="403">
        <f t="shared" si="115"/>
        <v>0</v>
      </c>
      <c r="AU240" s="403">
        <f t="shared" si="115"/>
        <v>0</v>
      </c>
      <c r="AV240" s="403">
        <f t="shared" si="115"/>
        <v>0</v>
      </c>
      <c r="AW240" s="403">
        <f t="shared" si="115"/>
        <v>0</v>
      </c>
      <c r="AX240" s="403">
        <f t="shared" si="115"/>
        <v>0</v>
      </c>
      <c r="AY240" s="403">
        <f t="shared" si="115"/>
        <v>0</v>
      </c>
      <c r="AZ240" s="403">
        <f t="shared" si="115"/>
        <v>0</v>
      </c>
      <c r="BA240" s="404">
        <f t="shared" si="115"/>
        <v>0</v>
      </c>
    </row>
    <row r="241" spans="1:53" s="246" customFormat="1" outlineLevel="1">
      <c r="A241" s="244"/>
      <c r="B241" s="244"/>
      <c r="C241" s="1"/>
      <c r="D241" s="1"/>
      <c r="E241" s="365" t="s">
        <v>621</v>
      </c>
      <c r="F241" s="365"/>
      <c r="G241" s="365"/>
      <c r="H241" s="365"/>
      <c r="I241" s="365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</row>
    <row r="242" spans="1:53" s="246" customFormat="1" outlineLevel="1">
      <c r="A242" s="244"/>
      <c r="B242" s="244"/>
      <c r="C242" s="1"/>
      <c r="D242" s="1"/>
      <c r="E242" s="374" t="s">
        <v>706</v>
      </c>
      <c r="F242" s="388">
        <f t="shared" ref="F242:K242" si="116">+IF(F10&lt;&gt;0,ROUND(F57/F10,4),0)</f>
        <v>0</v>
      </c>
      <c r="G242" s="388">
        <f t="shared" si="116"/>
        <v>0</v>
      </c>
      <c r="H242" s="388">
        <f t="shared" si="116"/>
        <v>0</v>
      </c>
      <c r="I242" s="388">
        <f t="shared" si="116"/>
        <v>0</v>
      </c>
      <c r="J242" s="388">
        <f t="shared" si="116"/>
        <v>0.20280000000000001</v>
      </c>
      <c r="K242" s="388">
        <f t="shared" si="116"/>
        <v>0.19070000000000001</v>
      </c>
      <c r="L242" s="397" t="s">
        <v>27</v>
      </c>
      <c r="M242" s="388">
        <f t="shared" ref="M242:BA242" si="117">+IF(M10&lt;&gt;0,ROUND(M57/M10,4),0)</f>
        <v>0.17599999999999999</v>
      </c>
      <c r="N242" s="388">
        <f t="shared" si="117"/>
        <v>0.30320000000000003</v>
      </c>
      <c r="O242" s="388">
        <f t="shared" si="117"/>
        <v>0.2364</v>
      </c>
      <c r="P242" s="388">
        <f t="shared" si="117"/>
        <v>0.28860000000000002</v>
      </c>
      <c r="Q242" s="388">
        <f t="shared" si="117"/>
        <v>0.2429</v>
      </c>
      <c r="R242" s="388">
        <f t="shared" si="117"/>
        <v>0.2</v>
      </c>
      <c r="S242" s="388">
        <f t="shared" si="117"/>
        <v>0.1598</v>
      </c>
      <c r="T242" s="388">
        <f t="shared" si="117"/>
        <v>0.1303</v>
      </c>
      <c r="U242" s="388">
        <f t="shared" si="117"/>
        <v>0.1027</v>
      </c>
      <c r="V242" s="388">
        <f t="shared" si="117"/>
        <v>7.6799999999999993E-2</v>
      </c>
      <c r="W242" s="388">
        <f t="shared" si="117"/>
        <v>5.2299999999999999E-2</v>
      </c>
      <c r="X242" s="388">
        <f t="shared" si="117"/>
        <v>2.5700000000000001E-2</v>
      </c>
      <c r="Y242" s="388">
        <f t="shared" si="117"/>
        <v>0</v>
      </c>
      <c r="Z242" s="388">
        <f t="shared" si="117"/>
        <v>0</v>
      </c>
      <c r="AA242" s="388">
        <f t="shared" si="117"/>
        <v>0</v>
      </c>
      <c r="AB242" s="388">
        <f t="shared" si="117"/>
        <v>0</v>
      </c>
      <c r="AC242" s="388">
        <f t="shared" si="117"/>
        <v>0</v>
      </c>
      <c r="AD242" s="388">
        <f t="shared" si="117"/>
        <v>0</v>
      </c>
      <c r="AE242" s="388">
        <f t="shared" si="117"/>
        <v>0</v>
      </c>
      <c r="AF242" s="388">
        <f t="shared" si="117"/>
        <v>0</v>
      </c>
      <c r="AG242" s="388">
        <f t="shared" si="117"/>
        <v>0</v>
      </c>
      <c r="AH242" s="388">
        <f t="shared" si="117"/>
        <v>0</v>
      </c>
      <c r="AI242" s="388">
        <f t="shared" si="117"/>
        <v>0</v>
      </c>
      <c r="AJ242" s="388">
        <f t="shared" si="117"/>
        <v>0</v>
      </c>
      <c r="AK242" s="388">
        <f t="shared" si="117"/>
        <v>0</v>
      </c>
      <c r="AL242" s="388">
        <f t="shared" si="117"/>
        <v>0</v>
      </c>
      <c r="AM242" s="388">
        <f t="shared" si="117"/>
        <v>0</v>
      </c>
      <c r="AN242" s="388">
        <f t="shared" si="117"/>
        <v>0</v>
      </c>
      <c r="AO242" s="388">
        <f t="shared" si="117"/>
        <v>0</v>
      </c>
      <c r="AP242" s="388">
        <f t="shared" si="117"/>
        <v>0</v>
      </c>
      <c r="AQ242" s="388">
        <f t="shared" si="117"/>
        <v>0</v>
      </c>
      <c r="AR242" s="388">
        <f t="shared" si="117"/>
        <v>0</v>
      </c>
      <c r="AS242" s="388">
        <f t="shared" si="117"/>
        <v>0</v>
      </c>
      <c r="AT242" s="388">
        <f t="shared" si="117"/>
        <v>0</v>
      </c>
      <c r="AU242" s="388">
        <f t="shared" si="117"/>
        <v>0</v>
      </c>
      <c r="AV242" s="388">
        <f t="shared" si="117"/>
        <v>0</v>
      </c>
      <c r="AW242" s="388">
        <f t="shared" si="117"/>
        <v>0</v>
      </c>
      <c r="AX242" s="388">
        <f t="shared" si="117"/>
        <v>0</v>
      </c>
      <c r="AY242" s="388">
        <f t="shared" si="117"/>
        <v>0</v>
      </c>
      <c r="AZ242" s="388">
        <f t="shared" si="117"/>
        <v>0</v>
      </c>
      <c r="BA242" s="389">
        <f t="shared" si="117"/>
        <v>0</v>
      </c>
    </row>
    <row r="243" spans="1:53" s="246" customFormat="1" outlineLevel="1">
      <c r="A243" s="244"/>
      <c r="B243" s="244"/>
      <c r="C243" s="1"/>
      <c r="D243" s="1"/>
      <c r="E243" s="392" t="s">
        <v>622</v>
      </c>
      <c r="F243" s="390">
        <f t="shared" ref="F243:K243" si="118">+IF(F57&lt;&gt;0,ROUND(F26/F57,4),0)</f>
        <v>0</v>
      </c>
      <c r="G243" s="390">
        <f t="shared" si="118"/>
        <v>0</v>
      </c>
      <c r="H243" s="390">
        <f t="shared" si="118"/>
        <v>0</v>
      </c>
      <c r="I243" s="390">
        <f t="shared" si="118"/>
        <v>0</v>
      </c>
      <c r="J243" s="390">
        <f t="shared" si="118"/>
        <v>3.61E-2</v>
      </c>
      <c r="K243" s="390">
        <f t="shared" si="118"/>
        <v>3.44E-2</v>
      </c>
      <c r="L243" s="400" t="s">
        <v>27</v>
      </c>
      <c r="M243" s="390">
        <f t="shared" ref="M243:BA243" si="119">+IF(M57&lt;&gt;0,ROUND(M26/M57,4),0)</f>
        <v>2.3599999999999999E-2</v>
      </c>
      <c r="N243" s="390">
        <f t="shared" si="119"/>
        <v>1.9E-2</v>
      </c>
      <c r="O243" s="390">
        <f t="shared" si="119"/>
        <v>3.2500000000000001E-2</v>
      </c>
      <c r="P243" s="390">
        <f t="shared" si="119"/>
        <v>3.2500000000000001E-2</v>
      </c>
      <c r="Q243" s="390">
        <f t="shared" si="119"/>
        <v>3.27E-2</v>
      </c>
      <c r="R243" s="390">
        <f t="shared" si="119"/>
        <v>3.2800000000000003E-2</v>
      </c>
      <c r="S243" s="390">
        <f t="shared" si="119"/>
        <v>3.3000000000000002E-2</v>
      </c>
      <c r="T243" s="390">
        <f t="shared" si="119"/>
        <v>3.2199999999999999E-2</v>
      </c>
      <c r="U243" s="390">
        <f t="shared" si="119"/>
        <v>3.2899999999999999E-2</v>
      </c>
      <c r="V243" s="390">
        <f t="shared" si="119"/>
        <v>3.5299999999999998E-2</v>
      </c>
      <c r="W243" s="390">
        <f t="shared" si="119"/>
        <v>4.0099999999999997E-2</v>
      </c>
      <c r="X243" s="390">
        <f t="shared" si="119"/>
        <v>5.2499999999999998E-2</v>
      </c>
      <c r="Y243" s="390">
        <f t="shared" si="119"/>
        <v>0</v>
      </c>
      <c r="Z243" s="390">
        <f t="shared" si="119"/>
        <v>0</v>
      </c>
      <c r="AA243" s="390">
        <f t="shared" si="119"/>
        <v>0</v>
      </c>
      <c r="AB243" s="390">
        <f t="shared" si="119"/>
        <v>0</v>
      </c>
      <c r="AC243" s="390">
        <f t="shared" si="119"/>
        <v>0</v>
      </c>
      <c r="AD243" s="390">
        <f t="shared" si="119"/>
        <v>0</v>
      </c>
      <c r="AE243" s="390">
        <f t="shared" si="119"/>
        <v>0</v>
      </c>
      <c r="AF243" s="390">
        <f t="shared" si="119"/>
        <v>0</v>
      </c>
      <c r="AG243" s="390">
        <f t="shared" si="119"/>
        <v>0</v>
      </c>
      <c r="AH243" s="390">
        <f t="shared" si="119"/>
        <v>0</v>
      </c>
      <c r="AI243" s="390">
        <f t="shared" si="119"/>
        <v>0</v>
      </c>
      <c r="AJ243" s="390">
        <f t="shared" si="119"/>
        <v>0</v>
      </c>
      <c r="AK243" s="390">
        <f t="shared" si="119"/>
        <v>0</v>
      </c>
      <c r="AL243" s="390">
        <f t="shared" si="119"/>
        <v>0</v>
      </c>
      <c r="AM243" s="390">
        <f t="shared" si="119"/>
        <v>0</v>
      </c>
      <c r="AN243" s="390">
        <f t="shared" si="119"/>
        <v>0</v>
      </c>
      <c r="AO243" s="390">
        <f t="shared" si="119"/>
        <v>0</v>
      </c>
      <c r="AP243" s="390">
        <f t="shared" si="119"/>
        <v>0</v>
      </c>
      <c r="AQ243" s="390">
        <f t="shared" si="119"/>
        <v>0</v>
      </c>
      <c r="AR243" s="390">
        <f t="shared" si="119"/>
        <v>0</v>
      </c>
      <c r="AS243" s="390">
        <f t="shared" si="119"/>
        <v>0</v>
      </c>
      <c r="AT243" s="390">
        <f t="shared" si="119"/>
        <v>0</v>
      </c>
      <c r="AU243" s="390">
        <f t="shared" si="119"/>
        <v>0</v>
      </c>
      <c r="AV243" s="390">
        <f t="shared" si="119"/>
        <v>0</v>
      </c>
      <c r="AW243" s="390">
        <f t="shared" si="119"/>
        <v>0</v>
      </c>
      <c r="AX243" s="390">
        <f t="shared" si="119"/>
        <v>0</v>
      </c>
      <c r="AY243" s="390">
        <f t="shared" si="119"/>
        <v>0</v>
      </c>
      <c r="AZ243" s="390">
        <f t="shared" si="119"/>
        <v>0</v>
      </c>
      <c r="BA243" s="391">
        <f t="shared" si="119"/>
        <v>0</v>
      </c>
    </row>
    <row r="244" spans="1:53" s="246" customFormat="1" outlineLevel="1">
      <c r="A244" s="244"/>
      <c r="B244" s="244"/>
      <c r="C244" s="1"/>
      <c r="D244" s="1"/>
      <c r="E244" s="392" t="s">
        <v>691</v>
      </c>
      <c r="F244" s="390">
        <f>+IF(F47&lt;&gt;0,ROUND(F26/F47,4),0)</f>
        <v>0</v>
      </c>
      <c r="G244" s="390">
        <f>+IF(G47&lt;&gt;0,ROUND(G26/G47,4),0)</f>
        <v>0</v>
      </c>
      <c r="H244" s="390">
        <f>+IF(H47&lt;&gt;0,ROUND(H26/H47,4),0)</f>
        <v>0</v>
      </c>
      <c r="I244" s="390">
        <f>+IF(I47&lt;&gt;0,ROUND(I26/I47,4),0)</f>
        <v>0</v>
      </c>
      <c r="J244" s="390">
        <f t="shared" ref="J244:BA244" si="120">+IF(J47&lt;&gt;0,ROUND(J26/J47,4),0)</f>
        <v>0</v>
      </c>
      <c r="K244" s="390">
        <f t="shared" si="120"/>
        <v>0</v>
      </c>
      <c r="L244" s="390">
        <f t="shared" si="120"/>
        <v>0.16</v>
      </c>
      <c r="M244" s="390">
        <f t="shared" si="120"/>
        <v>0.1409</v>
      </c>
      <c r="N244" s="390">
        <f t="shared" si="120"/>
        <v>0</v>
      </c>
      <c r="O244" s="390">
        <f t="shared" si="120"/>
        <v>0.28310000000000002</v>
      </c>
      <c r="P244" s="390">
        <f t="shared" si="120"/>
        <v>0.2631</v>
      </c>
      <c r="Q244" s="390">
        <f t="shared" si="120"/>
        <v>0.22070000000000001</v>
      </c>
      <c r="R244" s="390">
        <f t="shared" si="120"/>
        <v>0.1888</v>
      </c>
      <c r="S244" s="390">
        <f t="shared" si="120"/>
        <v>0.15690000000000001</v>
      </c>
      <c r="T244" s="390">
        <f t="shared" si="120"/>
        <v>0.17199999999999999</v>
      </c>
      <c r="U244" s="390">
        <f t="shared" si="120"/>
        <v>0.14280000000000001</v>
      </c>
      <c r="V244" s="390">
        <f t="shared" si="120"/>
        <v>0.11749999999999999</v>
      </c>
      <c r="W244" s="390">
        <f t="shared" si="120"/>
        <v>9.3600000000000003E-2</v>
      </c>
      <c r="X244" s="390">
        <f t="shared" si="120"/>
        <v>5.2499999999999998E-2</v>
      </c>
      <c r="Y244" s="390">
        <f t="shared" si="120"/>
        <v>1.7500000000000002E-2</v>
      </c>
      <c r="Z244" s="390">
        <f t="shared" si="120"/>
        <v>0</v>
      </c>
      <c r="AA244" s="390">
        <f t="shared" si="120"/>
        <v>0</v>
      </c>
      <c r="AB244" s="390">
        <f t="shared" si="120"/>
        <v>0</v>
      </c>
      <c r="AC244" s="390">
        <f t="shared" si="120"/>
        <v>0</v>
      </c>
      <c r="AD244" s="390">
        <f t="shared" si="120"/>
        <v>0</v>
      </c>
      <c r="AE244" s="390">
        <f t="shared" si="120"/>
        <v>0</v>
      </c>
      <c r="AF244" s="390">
        <f t="shared" si="120"/>
        <v>0</v>
      </c>
      <c r="AG244" s="390">
        <f t="shared" si="120"/>
        <v>0</v>
      </c>
      <c r="AH244" s="390">
        <f t="shared" si="120"/>
        <v>0</v>
      </c>
      <c r="AI244" s="390">
        <f t="shared" si="120"/>
        <v>0</v>
      </c>
      <c r="AJ244" s="390">
        <f t="shared" si="120"/>
        <v>0</v>
      </c>
      <c r="AK244" s="390">
        <f t="shared" si="120"/>
        <v>0</v>
      </c>
      <c r="AL244" s="390">
        <f t="shared" si="120"/>
        <v>0</v>
      </c>
      <c r="AM244" s="390">
        <f t="shared" si="120"/>
        <v>0</v>
      </c>
      <c r="AN244" s="390">
        <f t="shared" si="120"/>
        <v>0</v>
      </c>
      <c r="AO244" s="390">
        <f t="shared" si="120"/>
        <v>0</v>
      </c>
      <c r="AP244" s="390">
        <f t="shared" si="120"/>
        <v>0</v>
      </c>
      <c r="AQ244" s="390">
        <f t="shared" si="120"/>
        <v>0</v>
      </c>
      <c r="AR244" s="390">
        <f t="shared" si="120"/>
        <v>0</v>
      </c>
      <c r="AS244" s="390">
        <f t="shared" si="120"/>
        <v>0</v>
      </c>
      <c r="AT244" s="390">
        <f t="shared" si="120"/>
        <v>0</v>
      </c>
      <c r="AU244" s="390">
        <f t="shared" si="120"/>
        <v>0</v>
      </c>
      <c r="AV244" s="390">
        <f t="shared" si="120"/>
        <v>0</v>
      </c>
      <c r="AW244" s="390">
        <f t="shared" si="120"/>
        <v>0</v>
      </c>
      <c r="AX244" s="390">
        <f t="shared" si="120"/>
        <v>0</v>
      </c>
      <c r="AY244" s="390">
        <f t="shared" si="120"/>
        <v>0</v>
      </c>
      <c r="AZ244" s="390">
        <f t="shared" si="120"/>
        <v>0</v>
      </c>
      <c r="BA244" s="391">
        <f t="shared" si="120"/>
        <v>0</v>
      </c>
    </row>
    <row r="245" spans="1:53" s="246" customFormat="1" outlineLevel="1">
      <c r="A245" s="244"/>
      <c r="B245" s="244"/>
      <c r="C245" s="1"/>
      <c r="D245" s="1"/>
      <c r="E245" s="392" t="s">
        <v>623</v>
      </c>
      <c r="F245" s="390">
        <f>+IF(F10&lt;&gt;0,ROUND(F60/F10,4),0)</f>
        <v>6.25E-2</v>
      </c>
      <c r="G245" s="390">
        <f>+IF(G10&lt;&gt;0,ROUND(G60/G10,4),0)</f>
        <v>0.1022</v>
      </c>
      <c r="H245" s="390">
        <f>+IF(H10&lt;&gt;0,ROUND(H60/H10,4),0)</f>
        <v>8.4400000000000003E-2</v>
      </c>
      <c r="I245" s="390">
        <f>+IF(I10&lt;&gt;0,ROUND(I60/I10,4),0)</f>
        <v>8.5400000000000004E-2</v>
      </c>
      <c r="J245" s="390">
        <f t="shared" ref="J245:BA245" si="121">+IF(J10&lt;&gt;0,ROUND(J60/J10,4),0)</f>
        <v>9.9900000000000003E-2</v>
      </c>
      <c r="K245" s="390">
        <f t="shared" si="121"/>
        <v>7.3400000000000007E-2</v>
      </c>
      <c r="L245" s="390">
        <f t="shared" si="121"/>
        <v>3.8300000000000001E-2</v>
      </c>
      <c r="M245" s="390">
        <f t="shared" si="121"/>
        <v>0.1293</v>
      </c>
      <c r="N245" s="390">
        <f t="shared" si="121"/>
        <v>1.7399999999999999E-2</v>
      </c>
      <c r="O245" s="390">
        <f t="shared" si="121"/>
        <v>2.5899999999999999E-2</v>
      </c>
      <c r="P245" s="390">
        <f t="shared" si="121"/>
        <v>4.5499999999999999E-2</v>
      </c>
      <c r="Q245" s="390">
        <f t="shared" si="121"/>
        <v>5.6000000000000001E-2</v>
      </c>
      <c r="R245" s="390">
        <f t="shared" si="121"/>
        <v>6.6400000000000001E-2</v>
      </c>
      <c r="S245" s="390">
        <f t="shared" si="121"/>
        <v>7.5700000000000003E-2</v>
      </c>
      <c r="T245" s="390">
        <f t="shared" si="121"/>
        <v>8.3799999999999999E-2</v>
      </c>
      <c r="U245" s="390">
        <f t="shared" si="121"/>
        <v>8.9899999999999994E-2</v>
      </c>
      <c r="V245" s="390">
        <f t="shared" si="121"/>
        <v>9.4100000000000003E-2</v>
      </c>
      <c r="W245" s="390">
        <f t="shared" si="121"/>
        <v>9.74E-2</v>
      </c>
      <c r="X245" s="390">
        <f t="shared" si="121"/>
        <v>0.10059999999999999</v>
      </c>
      <c r="Y245" s="390">
        <f t="shared" si="121"/>
        <v>0.1024</v>
      </c>
      <c r="Z245" s="390">
        <f t="shared" si="121"/>
        <v>0</v>
      </c>
      <c r="AA245" s="390">
        <f t="shared" si="121"/>
        <v>0</v>
      </c>
      <c r="AB245" s="390">
        <f t="shared" si="121"/>
        <v>0</v>
      </c>
      <c r="AC245" s="390">
        <f t="shared" si="121"/>
        <v>0</v>
      </c>
      <c r="AD245" s="390">
        <f t="shared" si="121"/>
        <v>0</v>
      </c>
      <c r="AE245" s="390">
        <f t="shared" si="121"/>
        <v>0</v>
      </c>
      <c r="AF245" s="390">
        <f t="shared" si="121"/>
        <v>0</v>
      </c>
      <c r="AG245" s="390">
        <f t="shared" si="121"/>
        <v>0</v>
      </c>
      <c r="AH245" s="390">
        <f t="shared" si="121"/>
        <v>0</v>
      </c>
      <c r="AI245" s="390">
        <f t="shared" si="121"/>
        <v>0</v>
      </c>
      <c r="AJ245" s="390">
        <f t="shared" si="121"/>
        <v>0</v>
      </c>
      <c r="AK245" s="390">
        <f t="shared" si="121"/>
        <v>0</v>
      </c>
      <c r="AL245" s="390">
        <f t="shared" si="121"/>
        <v>0</v>
      </c>
      <c r="AM245" s="390">
        <f t="shared" si="121"/>
        <v>0</v>
      </c>
      <c r="AN245" s="390">
        <f t="shared" si="121"/>
        <v>0</v>
      </c>
      <c r="AO245" s="390">
        <f t="shared" si="121"/>
        <v>0</v>
      </c>
      <c r="AP245" s="390">
        <f t="shared" si="121"/>
        <v>0</v>
      </c>
      <c r="AQ245" s="390">
        <f t="shared" si="121"/>
        <v>0</v>
      </c>
      <c r="AR245" s="390">
        <f t="shared" si="121"/>
        <v>0</v>
      </c>
      <c r="AS245" s="390">
        <f t="shared" si="121"/>
        <v>0</v>
      </c>
      <c r="AT245" s="390">
        <f t="shared" si="121"/>
        <v>0</v>
      </c>
      <c r="AU245" s="390">
        <f t="shared" si="121"/>
        <v>0</v>
      </c>
      <c r="AV245" s="390">
        <f t="shared" si="121"/>
        <v>0</v>
      </c>
      <c r="AW245" s="390">
        <f t="shared" si="121"/>
        <v>0</v>
      </c>
      <c r="AX245" s="390">
        <f t="shared" si="121"/>
        <v>0</v>
      </c>
      <c r="AY245" s="390">
        <f t="shared" si="121"/>
        <v>0</v>
      </c>
      <c r="AZ245" s="390">
        <f t="shared" si="121"/>
        <v>0</v>
      </c>
      <c r="BA245" s="391">
        <f t="shared" si="121"/>
        <v>0</v>
      </c>
    </row>
    <row r="246" spans="1:53" s="246" customFormat="1" outlineLevel="1">
      <c r="A246" s="244"/>
      <c r="B246" s="244"/>
      <c r="C246" s="1"/>
      <c r="D246" s="1"/>
      <c r="E246" s="392" t="s">
        <v>624</v>
      </c>
      <c r="F246" s="390">
        <f>+IF(F11&lt;&gt;0,ROUND(F60/F11,4),0)</f>
        <v>6.9199999999999998E-2</v>
      </c>
      <c r="G246" s="390">
        <f>+IF(G11&lt;&gt;0,ROUND(G60/G11,4),0)</f>
        <v>0.1192</v>
      </c>
      <c r="H246" s="390">
        <f>+IF(H11&lt;&gt;0,ROUND(H60/H11,4),0)</f>
        <v>9.3700000000000006E-2</v>
      </c>
      <c r="I246" s="390">
        <f>+IF(I11&lt;&gt;0,ROUND(I60/I11,4),0)</f>
        <v>0.10489999999999999</v>
      </c>
      <c r="J246" s="390">
        <f t="shared" ref="J246:BA246" si="122">+IF(J11&lt;&gt;0,ROUND(J60/J11,4),0)</f>
        <v>0.12959999999999999</v>
      </c>
      <c r="K246" s="390">
        <f t="shared" si="122"/>
        <v>9.5799999999999996E-2</v>
      </c>
      <c r="L246" s="390">
        <f t="shared" si="122"/>
        <v>4.2599999999999999E-2</v>
      </c>
      <c r="M246" s="390">
        <f t="shared" si="122"/>
        <v>0.1552</v>
      </c>
      <c r="N246" s="390">
        <f t="shared" si="122"/>
        <v>2.12E-2</v>
      </c>
      <c r="O246" s="390">
        <f t="shared" si="122"/>
        <v>3.7100000000000001E-2</v>
      </c>
      <c r="P246" s="390">
        <f t="shared" si="122"/>
        <v>4.5999999999999999E-2</v>
      </c>
      <c r="Q246" s="390">
        <f t="shared" si="122"/>
        <v>5.6500000000000002E-2</v>
      </c>
      <c r="R246" s="390">
        <f t="shared" si="122"/>
        <v>6.7000000000000004E-2</v>
      </c>
      <c r="S246" s="390">
        <f t="shared" si="122"/>
        <v>7.6300000000000007E-2</v>
      </c>
      <c r="T246" s="390">
        <f t="shared" si="122"/>
        <v>8.4500000000000006E-2</v>
      </c>
      <c r="U246" s="390">
        <f t="shared" si="122"/>
        <v>9.0700000000000003E-2</v>
      </c>
      <c r="V246" s="390">
        <f t="shared" si="122"/>
        <v>9.4899999999999998E-2</v>
      </c>
      <c r="W246" s="390">
        <f t="shared" si="122"/>
        <v>9.8100000000000007E-2</v>
      </c>
      <c r="X246" s="390">
        <f t="shared" si="122"/>
        <v>0.10059999999999999</v>
      </c>
      <c r="Y246" s="390">
        <f t="shared" si="122"/>
        <v>0.1024</v>
      </c>
      <c r="Z246" s="390">
        <f t="shared" si="122"/>
        <v>0</v>
      </c>
      <c r="AA246" s="390">
        <f t="shared" si="122"/>
        <v>0</v>
      </c>
      <c r="AB246" s="390">
        <f t="shared" si="122"/>
        <v>0</v>
      </c>
      <c r="AC246" s="390">
        <f t="shared" si="122"/>
        <v>0</v>
      </c>
      <c r="AD246" s="390">
        <f t="shared" si="122"/>
        <v>0</v>
      </c>
      <c r="AE246" s="390">
        <f t="shared" si="122"/>
        <v>0</v>
      </c>
      <c r="AF246" s="390">
        <f t="shared" si="122"/>
        <v>0</v>
      </c>
      <c r="AG246" s="390">
        <f t="shared" si="122"/>
        <v>0</v>
      </c>
      <c r="AH246" s="390">
        <f t="shared" si="122"/>
        <v>0</v>
      </c>
      <c r="AI246" s="390">
        <f t="shared" si="122"/>
        <v>0</v>
      </c>
      <c r="AJ246" s="390">
        <f t="shared" si="122"/>
        <v>0</v>
      </c>
      <c r="AK246" s="390">
        <f t="shared" si="122"/>
        <v>0</v>
      </c>
      <c r="AL246" s="390">
        <f t="shared" si="122"/>
        <v>0</v>
      </c>
      <c r="AM246" s="390">
        <f t="shared" si="122"/>
        <v>0</v>
      </c>
      <c r="AN246" s="390">
        <f t="shared" si="122"/>
        <v>0</v>
      </c>
      <c r="AO246" s="390">
        <f t="shared" si="122"/>
        <v>0</v>
      </c>
      <c r="AP246" s="390">
        <f t="shared" si="122"/>
        <v>0</v>
      </c>
      <c r="AQ246" s="390">
        <f t="shared" si="122"/>
        <v>0</v>
      </c>
      <c r="AR246" s="390">
        <f t="shared" si="122"/>
        <v>0</v>
      </c>
      <c r="AS246" s="390">
        <f t="shared" si="122"/>
        <v>0</v>
      </c>
      <c r="AT246" s="390">
        <f t="shared" si="122"/>
        <v>0</v>
      </c>
      <c r="AU246" s="390">
        <f t="shared" si="122"/>
        <v>0</v>
      </c>
      <c r="AV246" s="390">
        <f t="shared" si="122"/>
        <v>0</v>
      </c>
      <c r="AW246" s="390">
        <f t="shared" si="122"/>
        <v>0</v>
      </c>
      <c r="AX246" s="390">
        <f t="shared" si="122"/>
        <v>0</v>
      </c>
      <c r="AY246" s="390">
        <f t="shared" si="122"/>
        <v>0</v>
      </c>
      <c r="AZ246" s="390">
        <f t="shared" si="122"/>
        <v>0</v>
      </c>
      <c r="BA246" s="391">
        <f t="shared" si="122"/>
        <v>0</v>
      </c>
    </row>
    <row r="247" spans="1:53" s="246" customFormat="1" ht="36" outlineLevel="1">
      <c r="A247" s="244"/>
      <c r="B247" s="244"/>
      <c r="C247" s="1"/>
      <c r="D247" s="1"/>
      <c r="E247" s="375" t="s">
        <v>625</v>
      </c>
      <c r="F247" s="405">
        <f>+IF(F60&lt;&gt;0,ROUND(F57/F60,4),0)</f>
        <v>0</v>
      </c>
      <c r="G247" s="405">
        <f>+IF(G60&lt;&gt;0,ROUND(G57/G60,4),0)</f>
        <v>0</v>
      </c>
      <c r="H247" s="405">
        <f>+IF(H60&lt;&gt;0,ROUND(H57/H60,4),0)</f>
        <v>0</v>
      </c>
      <c r="I247" s="405">
        <f>+IF(I60&lt;&gt;0,ROUND(I57/I60,4),0)</f>
        <v>0</v>
      </c>
      <c r="J247" s="405">
        <f t="shared" ref="J247:BA247" si="123">+IF(J60&lt;&gt;0,ROUND(J57/J60,4),0)</f>
        <v>2.0289000000000001</v>
      </c>
      <c r="K247" s="405">
        <f t="shared" si="123"/>
        <v>2.5975999999999999</v>
      </c>
      <c r="L247" s="405">
        <f t="shared" si="123"/>
        <v>5.6201999999999996</v>
      </c>
      <c r="M247" s="405">
        <f t="shared" si="123"/>
        <v>1.3617999999999999</v>
      </c>
      <c r="N247" s="405">
        <f t="shared" si="123"/>
        <v>17.4011</v>
      </c>
      <c r="O247" s="405">
        <f t="shared" si="123"/>
        <v>9.1424000000000003</v>
      </c>
      <c r="P247" s="405">
        <f t="shared" si="123"/>
        <v>6.3387000000000002</v>
      </c>
      <c r="Q247" s="405">
        <f t="shared" si="123"/>
        <v>4.3358999999999996</v>
      </c>
      <c r="R247" s="405">
        <f t="shared" si="123"/>
        <v>3.0129000000000001</v>
      </c>
      <c r="S247" s="405">
        <f t="shared" si="123"/>
        <v>2.1118000000000001</v>
      </c>
      <c r="T247" s="405">
        <f t="shared" si="123"/>
        <v>1.5546</v>
      </c>
      <c r="U247" s="405">
        <f t="shared" si="123"/>
        <v>1.1423000000000001</v>
      </c>
      <c r="V247" s="405">
        <f t="shared" si="123"/>
        <v>0.81610000000000005</v>
      </c>
      <c r="W247" s="405">
        <f t="shared" si="123"/>
        <v>0.5373</v>
      </c>
      <c r="X247" s="405">
        <f t="shared" si="123"/>
        <v>0.255</v>
      </c>
      <c r="Y247" s="405">
        <f t="shared" si="123"/>
        <v>0</v>
      </c>
      <c r="Z247" s="405">
        <f t="shared" si="123"/>
        <v>0</v>
      </c>
      <c r="AA247" s="405">
        <f t="shared" si="123"/>
        <v>0</v>
      </c>
      <c r="AB247" s="405">
        <f t="shared" si="123"/>
        <v>0</v>
      </c>
      <c r="AC247" s="405">
        <f t="shared" si="123"/>
        <v>0</v>
      </c>
      <c r="AD247" s="405">
        <f t="shared" si="123"/>
        <v>0</v>
      </c>
      <c r="AE247" s="405">
        <f t="shared" si="123"/>
        <v>0</v>
      </c>
      <c r="AF247" s="405">
        <f t="shared" si="123"/>
        <v>0</v>
      </c>
      <c r="AG247" s="405">
        <f t="shared" si="123"/>
        <v>0</v>
      </c>
      <c r="AH247" s="405">
        <f t="shared" si="123"/>
        <v>0</v>
      </c>
      <c r="AI247" s="405">
        <f t="shared" si="123"/>
        <v>0</v>
      </c>
      <c r="AJ247" s="405">
        <f t="shared" si="123"/>
        <v>0</v>
      </c>
      <c r="AK247" s="405">
        <f t="shared" si="123"/>
        <v>0</v>
      </c>
      <c r="AL247" s="405">
        <f t="shared" si="123"/>
        <v>0</v>
      </c>
      <c r="AM247" s="405">
        <f t="shared" si="123"/>
        <v>0</v>
      </c>
      <c r="AN247" s="405">
        <f t="shared" si="123"/>
        <v>0</v>
      </c>
      <c r="AO247" s="405">
        <f t="shared" si="123"/>
        <v>0</v>
      </c>
      <c r="AP247" s="405">
        <f t="shared" si="123"/>
        <v>0</v>
      </c>
      <c r="AQ247" s="405">
        <f t="shared" si="123"/>
        <v>0</v>
      </c>
      <c r="AR247" s="405">
        <f t="shared" si="123"/>
        <v>0</v>
      </c>
      <c r="AS247" s="405">
        <f t="shared" si="123"/>
        <v>0</v>
      </c>
      <c r="AT247" s="405">
        <f t="shared" si="123"/>
        <v>0</v>
      </c>
      <c r="AU247" s="405">
        <f t="shared" si="123"/>
        <v>0</v>
      </c>
      <c r="AV247" s="405">
        <f t="shared" si="123"/>
        <v>0</v>
      </c>
      <c r="AW247" s="405">
        <f t="shared" si="123"/>
        <v>0</v>
      </c>
      <c r="AX247" s="405">
        <f t="shared" si="123"/>
        <v>0</v>
      </c>
      <c r="AY247" s="405">
        <f t="shared" si="123"/>
        <v>0</v>
      </c>
      <c r="AZ247" s="405">
        <f t="shared" si="123"/>
        <v>0</v>
      </c>
      <c r="BA247" s="406">
        <f t="shared" si="123"/>
        <v>0</v>
      </c>
    </row>
    <row r="248" spans="1:53" s="246" customFormat="1">
      <c r="A248" s="244"/>
      <c r="B248" s="24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s="246" customFormat="1" ht="15">
      <c r="A249" s="244"/>
      <c r="B249" s="244"/>
      <c r="C249" s="1"/>
      <c r="D249" s="1"/>
      <c r="E249" s="224" t="s">
        <v>626</v>
      </c>
      <c r="F249" s="147">
        <f t="shared" ref="F249:BA249" si="124">+F$9</f>
        <v>2015</v>
      </c>
      <c r="G249" s="147">
        <f t="shared" si="124"/>
        <v>2016</v>
      </c>
      <c r="H249" s="147">
        <f t="shared" si="124"/>
        <v>2017</v>
      </c>
      <c r="I249" s="147">
        <f t="shared" si="124"/>
        <v>2018</v>
      </c>
      <c r="J249" s="147">
        <f t="shared" si="124"/>
        <v>2019</v>
      </c>
      <c r="K249" s="148">
        <f t="shared" si="124"/>
        <v>2020</v>
      </c>
      <c r="L249" s="148">
        <f t="shared" si="124"/>
        <v>2021</v>
      </c>
      <c r="M249" s="149">
        <f t="shared" si="124"/>
        <v>2021</v>
      </c>
      <c r="N249" s="150">
        <f t="shared" si="124"/>
        <v>2022</v>
      </c>
      <c r="O249" s="151">
        <f t="shared" si="124"/>
        <v>2023</v>
      </c>
      <c r="P249" s="151">
        <f t="shared" si="124"/>
        <v>2024</v>
      </c>
      <c r="Q249" s="151">
        <f t="shared" si="124"/>
        <v>2025</v>
      </c>
      <c r="R249" s="151">
        <f t="shared" si="124"/>
        <v>2026</v>
      </c>
      <c r="S249" s="151">
        <f t="shared" si="124"/>
        <v>2027</v>
      </c>
      <c r="T249" s="151">
        <f t="shared" si="124"/>
        <v>2028</v>
      </c>
      <c r="U249" s="151">
        <f t="shared" si="124"/>
        <v>2029</v>
      </c>
      <c r="V249" s="151">
        <f t="shared" si="124"/>
        <v>2030</v>
      </c>
      <c r="W249" s="151">
        <f t="shared" si="124"/>
        <v>2031</v>
      </c>
      <c r="X249" s="151">
        <f t="shared" si="124"/>
        <v>2032</v>
      </c>
      <c r="Y249" s="151">
        <f t="shared" si="124"/>
        <v>2033</v>
      </c>
      <c r="Z249" s="151">
        <f t="shared" si="124"/>
        <v>2034</v>
      </c>
      <c r="AA249" s="151">
        <f t="shared" si="124"/>
        <v>2035</v>
      </c>
      <c r="AB249" s="151">
        <f t="shared" si="124"/>
        <v>2036</v>
      </c>
      <c r="AC249" s="151">
        <f t="shared" si="124"/>
        <v>2037</v>
      </c>
      <c r="AD249" s="151">
        <f t="shared" si="124"/>
        <v>2038</v>
      </c>
      <c r="AE249" s="151">
        <f t="shared" si="124"/>
        <v>2039</v>
      </c>
      <c r="AF249" s="151">
        <f t="shared" si="124"/>
        <v>2040</v>
      </c>
      <c r="AG249" s="151">
        <f t="shared" si="124"/>
        <v>2041</v>
      </c>
      <c r="AH249" s="151">
        <f t="shared" si="124"/>
        <v>2042</v>
      </c>
      <c r="AI249" s="151">
        <f t="shared" si="124"/>
        <v>2043</v>
      </c>
      <c r="AJ249" s="151">
        <f t="shared" si="124"/>
        <v>2044</v>
      </c>
      <c r="AK249" s="151">
        <f t="shared" si="124"/>
        <v>2045</v>
      </c>
      <c r="AL249" s="151">
        <f t="shared" si="124"/>
        <v>2046</v>
      </c>
      <c r="AM249" s="151">
        <f t="shared" si="124"/>
        <v>2047</v>
      </c>
      <c r="AN249" s="151">
        <f t="shared" si="124"/>
        <v>2048</v>
      </c>
      <c r="AO249" s="151">
        <f t="shared" si="124"/>
        <v>2049</v>
      </c>
      <c r="AP249" s="151">
        <f t="shared" si="124"/>
        <v>2050</v>
      </c>
      <c r="AQ249" s="151">
        <f t="shared" si="124"/>
        <v>2051</v>
      </c>
      <c r="AR249" s="151">
        <f t="shared" si="124"/>
        <v>2052</v>
      </c>
      <c r="AS249" s="151">
        <f t="shared" si="124"/>
        <v>2053</v>
      </c>
      <c r="AT249" s="151">
        <f t="shared" si="124"/>
        <v>2054</v>
      </c>
      <c r="AU249" s="151">
        <f t="shared" si="124"/>
        <v>2055</v>
      </c>
      <c r="AV249" s="151">
        <f t="shared" si="124"/>
        <v>2056</v>
      </c>
      <c r="AW249" s="151">
        <f t="shared" si="124"/>
        <v>2057</v>
      </c>
      <c r="AX249" s="151">
        <f t="shared" si="124"/>
        <v>2058</v>
      </c>
      <c r="AY249" s="151">
        <f t="shared" si="124"/>
        <v>2059</v>
      </c>
      <c r="AZ249" s="151">
        <f t="shared" si="124"/>
        <v>2060</v>
      </c>
      <c r="BA249" s="484">
        <f t="shared" si="124"/>
        <v>2061</v>
      </c>
    </row>
    <row r="250" spans="1:53" s="246" customFormat="1" outlineLevel="1">
      <c r="A250" s="244"/>
      <c r="B250" s="244"/>
      <c r="C250" s="407"/>
      <c r="D250" s="408"/>
      <c r="E250" s="408" t="s">
        <v>627</v>
      </c>
      <c r="F250" s="408"/>
      <c r="G250" s="408"/>
      <c r="H250" s="408"/>
      <c r="I250" s="408"/>
      <c r="J250" s="408"/>
      <c r="K250" s="408"/>
      <c r="L250" s="408"/>
      <c r="M250" s="408"/>
      <c r="N250" s="409">
        <f>+SUM($N$11:N$11)</f>
        <v>49912310</v>
      </c>
      <c r="O250" s="409">
        <f>+SUM($N$11:O$11)</f>
        <v>101320656</v>
      </c>
      <c r="P250" s="409">
        <f>+SUM($N$11:P$11)</f>
        <v>154528293</v>
      </c>
      <c r="Q250" s="409">
        <f>+SUM($N$11:Q$11)</f>
        <v>209598198</v>
      </c>
      <c r="R250" s="409">
        <f>+SUM($N$11:R$11)</f>
        <v>266595549</v>
      </c>
      <c r="S250" s="409">
        <f>+SUM($N$11:S$11)</f>
        <v>325530809</v>
      </c>
      <c r="T250" s="409">
        <f>+SUM($N$11:T$11)</f>
        <v>386410933</v>
      </c>
      <c r="U250" s="409">
        <f>+SUM($N$11:U$11)</f>
        <v>449178341</v>
      </c>
      <c r="V250" s="409">
        <f>+SUM($N$11:V$11)</f>
        <v>513766004</v>
      </c>
      <c r="W250" s="409">
        <f>+SUM($N$11:W$11)</f>
        <v>580162122</v>
      </c>
      <c r="X250" s="409">
        <f>+SUM($N$11:X$11)</f>
        <v>648350935</v>
      </c>
      <c r="Y250" s="409">
        <f>+SUM($N$11:Y$11)</f>
        <v>718312657</v>
      </c>
      <c r="Z250" s="409">
        <f>+SUM($N$11:Z$11)</f>
        <v>718312657</v>
      </c>
      <c r="AA250" s="409">
        <f>+SUM($N$11:AA$11)</f>
        <v>718312657</v>
      </c>
      <c r="AB250" s="409">
        <f>+SUM($N$11:AB$11)</f>
        <v>718312657</v>
      </c>
      <c r="AC250" s="409">
        <f>+SUM($N$11:AC$11)</f>
        <v>718312657</v>
      </c>
      <c r="AD250" s="409">
        <f>+SUM($N$11:AD$11)</f>
        <v>718312657</v>
      </c>
      <c r="AE250" s="409">
        <f>+SUM($N$11:AE$11)</f>
        <v>718312657</v>
      </c>
      <c r="AF250" s="409">
        <f>+SUM($N$11:AF$11)</f>
        <v>718312657</v>
      </c>
      <c r="AG250" s="409">
        <f>+SUM($N$11:AG$11)</f>
        <v>718312657</v>
      </c>
      <c r="AH250" s="409">
        <f>+SUM($N$11:AH$11)</f>
        <v>718312657</v>
      </c>
      <c r="AI250" s="409">
        <f>+SUM($N$11:AI$11)</f>
        <v>718312657</v>
      </c>
      <c r="AJ250" s="409">
        <f>+SUM($N$11:AJ$11)</f>
        <v>718312657</v>
      </c>
      <c r="AK250" s="409">
        <f>+SUM($N$11:AK$11)</f>
        <v>718312657</v>
      </c>
      <c r="AL250" s="409">
        <f>+SUM($N$11:AL$11)</f>
        <v>718312657</v>
      </c>
      <c r="AM250" s="409">
        <f>+SUM($N$11:AM$11)</f>
        <v>718312657</v>
      </c>
      <c r="AN250" s="409">
        <f>+SUM($N$11:AN$11)</f>
        <v>718312657</v>
      </c>
      <c r="AO250" s="409">
        <f>+SUM($N$11:AO$11)</f>
        <v>718312657</v>
      </c>
      <c r="AP250" s="409">
        <f>+SUM($N$11:AP$11)</f>
        <v>718312657</v>
      </c>
      <c r="AQ250" s="409">
        <f>+SUM($N$11:AQ$11)</f>
        <v>718312657</v>
      </c>
      <c r="AR250" s="409">
        <f>+SUM($N$11:AR$11)</f>
        <v>718312657</v>
      </c>
      <c r="AS250" s="409">
        <f>+SUM($N$11:AS$11)</f>
        <v>718312657</v>
      </c>
      <c r="AT250" s="409">
        <f>+SUM($N$11:AT$11)</f>
        <v>718312657</v>
      </c>
      <c r="AU250" s="409">
        <f>+SUM($N$11:AU$11)</f>
        <v>718312657</v>
      </c>
      <c r="AV250" s="409">
        <f>+SUM($N$11:AV$11)</f>
        <v>718312657</v>
      </c>
      <c r="AW250" s="409">
        <f>+SUM($N$11:AW$11)</f>
        <v>718312657</v>
      </c>
      <c r="AX250" s="409">
        <f>+SUM($N$11:AX$11)</f>
        <v>718312657</v>
      </c>
      <c r="AY250" s="409">
        <f>+SUM($N$11:AY$11)</f>
        <v>718312657</v>
      </c>
      <c r="AZ250" s="409">
        <f>+SUM($N$11:AZ$11)</f>
        <v>718312657</v>
      </c>
      <c r="BA250" s="410">
        <f>+SUM($N$11:BA$11)</f>
        <v>718312657</v>
      </c>
    </row>
    <row r="251" spans="1:53" s="246" customFormat="1" outlineLevel="1">
      <c r="A251" s="244"/>
      <c r="B251" s="244"/>
      <c r="C251" s="411"/>
      <c r="D251" s="412"/>
      <c r="E251" s="412" t="s">
        <v>628</v>
      </c>
      <c r="F251" s="412"/>
      <c r="G251" s="412"/>
      <c r="H251" s="412"/>
      <c r="I251" s="412"/>
      <c r="J251" s="412"/>
      <c r="K251" s="412"/>
      <c r="L251" s="412"/>
      <c r="M251" s="412"/>
      <c r="N251" s="413">
        <f>+SUM($N$22:N$22)</f>
        <v>48854045</v>
      </c>
      <c r="O251" s="413">
        <f>+SUM($N$22:O$22)</f>
        <v>98357537</v>
      </c>
      <c r="P251" s="413">
        <f>+SUM($N$22:P$22)</f>
        <v>149119890</v>
      </c>
      <c r="Q251" s="413">
        <f>+SUM($N$22:Q$22)</f>
        <v>201076262</v>
      </c>
      <c r="R251" s="413">
        <f>+SUM($N$22:R$22)</f>
        <v>254256708</v>
      </c>
      <c r="S251" s="413">
        <f>+SUM($N$22:S$22)</f>
        <v>308693425</v>
      </c>
      <c r="T251" s="413">
        <f>+SUM($N$22:T$22)</f>
        <v>364427390</v>
      </c>
      <c r="U251" s="413">
        <f>+SUM($N$22:U$22)</f>
        <v>421504405</v>
      </c>
      <c r="V251" s="413">
        <f>+SUM($N$22:V$22)</f>
        <v>479965142</v>
      </c>
      <c r="W251" s="413">
        <f>+SUM($N$22:W$22)</f>
        <v>539847140</v>
      </c>
      <c r="X251" s="413">
        <f>+SUM($N$22:X$22)</f>
        <v>601174127</v>
      </c>
      <c r="Y251" s="413">
        <f>+SUM($N$22:Y$22)</f>
        <v>663970742</v>
      </c>
      <c r="Z251" s="413">
        <f>+SUM($N$22:Z$22)</f>
        <v>663970742</v>
      </c>
      <c r="AA251" s="413">
        <f>+SUM($N$22:AA$22)</f>
        <v>663970742</v>
      </c>
      <c r="AB251" s="413">
        <f>+SUM($N$22:AB$22)</f>
        <v>663970742</v>
      </c>
      <c r="AC251" s="413">
        <f>+SUM($N$22:AC$22)</f>
        <v>663970742</v>
      </c>
      <c r="AD251" s="413">
        <f>+SUM($N$22:AD$22)</f>
        <v>663970742</v>
      </c>
      <c r="AE251" s="413">
        <f>+SUM($N$22:AE$22)</f>
        <v>663970742</v>
      </c>
      <c r="AF251" s="413">
        <f>+SUM($N$22:AF$22)</f>
        <v>663970742</v>
      </c>
      <c r="AG251" s="413">
        <f>+SUM($N$22:AG$22)</f>
        <v>663970742</v>
      </c>
      <c r="AH251" s="413">
        <f>+SUM($N$22:AH$22)</f>
        <v>663970742</v>
      </c>
      <c r="AI251" s="413">
        <f>+SUM($N$22:AI$22)</f>
        <v>663970742</v>
      </c>
      <c r="AJ251" s="413">
        <f>+SUM($N$22:AJ$22)</f>
        <v>663970742</v>
      </c>
      <c r="AK251" s="413">
        <f>+SUM($N$22:AK$22)</f>
        <v>663970742</v>
      </c>
      <c r="AL251" s="413">
        <f>+SUM($N$22:AL$22)</f>
        <v>663970742</v>
      </c>
      <c r="AM251" s="413">
        <f>+SUM($N$22:AM$22)</f>
        <v>663970742</v>
      </c>
      <c r="AN251" s="413">
        <f>+SUM($N$22:AN$22)</f>
        <v>663970742</v>
      </c>
      <c r="AO251" s="413">
        <f>+SUM($N$22:AO$22)</f>
        <v>663970742</v>
      </c>
      <c r="AP251" s="413">
        <f>+SUM($N$22:AP$22)</f>
        <v>663970742</v>
      </c>
      <c r="AQ251" s="413">
        <f>+SUM($N$22:AQ$22)</f>
        <v>663970742</v>
      </c>
      <c r="AR251" s="413">
        <f>+SUM($N$22:AR$22)</f>
        <v>663970742</v>
      </c>
      <c r="AS251" s="413">
        <f>+SUM($N$22:AS$22)</f>
        <v>663970742</v>
      </c>
      <c r="AT251" s="413">
        <f>+SUM($N$22:AT$22)</f>
        <v>663970742</v>
      </c>
      <c r="AU251" s="413">
        <f>+SUM($N$22:AU$22)</f>
        <v>663970742</v>
      </c>
      <c r="AV251" s="413">
        <f>+SUM($N$22:AV$22)</f>
        <v>663970742</v>
      </c>
      <c r="AW251" s="413">
        <f>+SUM($N$22:AW$22)</f>
        <v>663970742</v>
      </c>
      <c r="AX251" s="413">
        <f>+SUM($N$22:AX$22)</f>
        <v>663970742</v>
      </c>
      <c r="AY251" s="413">
        <f>+SUM($N$22:AY$22)</f>
        <v>663970742</v>
      </c>
      <c r="AZ251" s="413">
        <f>+SUM($N$22:AZ$22)</f>
        <v>663970742</v>
      </c>
      <c r="BA251" s="414">
        <f>+SUM($N$22:BA$22)</f>
        <v>663970742</v>
      </c>
    </row>
    <row r="252" spans="1:53" s="246" customFormat="1" outlineLevel="1">
      <c r="A252" s="244"/>
      <c r="B252" s="244"/>
      <c r="C252" s="415"/>
      <c r="D252" s="416"/>
      <c r="E252" s="417" t="s">
        <v>629</v>
      </c>
      <c r="F252" s="417"/>
      <c r="G252" s="417"/>
      <c r="H252" s="417"/>
      <c r="I252" s="417"/>
      <c r="J252" s="418"/>
      <c r="K252" s="417"/>
      <c r="L252" s="417"/>
      <c r="M252" s="417"/>
      <c r="N252" s="418">
        <f>+SUM($N$60:N$60)</f>
        <v>1058265</v>
      </c>
      <c r="O252" s="418">
        <f>+SUM($N$60:O$60)</f>
        <v>2963119</v>
      </c>
      <c r="P252" s="418">
        <f>+SUM($N$60:P$60)</f>
        <v>5408403</v>
      </c>
      <c r="Q252" s="418">
        <f>+SUM($N$60:Q$60)</f>
        <v>8521936</v>
      </c>
      <c r="R252" s="418">
        <f>+SUM($N$60:R$60)</f>
        <v>12338841</v>
      </c>
      <c r="S252" s="418">
        <f>+SUM($N$60:S$60)</f>
        <v>16837384</v>
      </c>
      <c r="T252" s="418">
        <f>+SUM($N$60:T$60)</f>
        <v>21983543</v>
      </c>
      <c r="U252" s="418">
        <f>+SUM($N$60:U$60)</f>
        <v>27673936</v>
      </c>
      <c r="V252" s="418">
        <f>+SUM($N$60:V$60)</f>
        <v>33800862</v>
      </c>
      <c r="W252" s="418">
        <f>+SUM($N$60:W$60)</f>
        <v>40314982</v>
      </c>
      <c r="X252" s="418">
        <f>+SUM($N$60:X$60)</f>
        <v>47176808</v>
      </c>
      <c r="Y252" s="418">
        <f>+SUM($N$60:Y$60)</f>
        <v>54341915</v>
      </c>
      <c r="Z252" s="418">
        <f>+SUM($N$60:Z$60)</f>
        <v>54341915</v>
      </c>
      <c r="AA252" s="418">
        <f>+SUM($N$60:AA$60)</f>
        <v>54341915</v>
      </c>
      <c r="AB252" s="418">
        <f>+SUM($N$60:AB$60)</f>
        <v>54341915</v>
      </c>
      <c r="AC252" s="418">
        <f>+SUM($N$60:AC$60)</f>
        <v>54341915</v>
      </c>
      <c r="AD252" s="418">
        <f>+SUM($N$60:AD$60)</f>
        <v>54341915</v>
      </c>
      <c r="AE252" s="418">
        <f>+SUM($N$60:AE$60)</f>
        <v>54341915</v>
      </c>
      <c r="AF252" s="418">
        <f>+SUM($N$60:AF$60)</f>
        <v>54341915</v>
      </c>
      <c r="AG252" s="418">
        <f>+SUM($N$60:AG$60)</f>
        <v>54341915</v>
      </c>
      <c r="AH252" s="418">
        <f>+SUM($N$60:AH$60)</f>
        <v>54341915</v>
      </c>
      <c r="AI252" s="418">
        <f>+SUM($N$60:AI$60)</f>
        <v>54341915</v>
      </c>
      <c r="AJ252" s="418">
        <f>+SUM($N$60:AJ$60)</f>
        <v>54341915</v>
      </c>
      <c r="AK252" s="418">
        <f>+SUM($N$60:AK$60)</f>
        <v>54341915</v>
      </c>
      <c r="AL252" s="418">
        <f>+SUM($N$60:AL$60)</f>
        <v>54341915</v>
      </c>
      <c r="AM252" s="418">
        <f>+SUM($N$60:AM$60)</f>
        <v>54341915</v>
      </c>
      <c r="AN252" s="418">
        <f>+SUM($N$60:AN$60)</f>
        <v>54341915</v>
      </c>
      <c r="AO252" s="418">
        <f>+SUM($N$60:AO$60)</f>
        <v>54341915</v>
      </c>
      <c r="AP252" s="418">
        <f>+SUM($N$60:AP$60)</f>
        <v>54341915</v>
      </c>
      <c r="AQ252" s="418">
        <f>+SUM($N$60:AQ$60)</f>
        <v>54341915</v>
      </c>
      <c r="AR252" s="418">
        <f>+SUM($N$60:AR$60)</f>
        <v>54341915</v>
      </c>
      <c r="AS252" s="418">
        <f>+SUM($N$60:AS$60)</f>
        <v>54341915</v>
      </c>
      <c r="AT252" s="418">
        <f>+SUM($N$60:AT$60)</f>
        <v>54341915</v>
      </c>
      <c r="AU252" s="418">
        <f>+SUM($N$60:AU$60)</f>
        <v>54341915</v>
      </c>
      <c r="AV252" s="418">
        <f>+SUM($N$60:AV$60)</f>
        <v>54341915</v>
      </c>
      <c r="AW252" s="418">
        <f>+SUM($N$60:AW$60)</f>
        <v>54341915</v>
      </c>
      <c r="AX252" s="418">
        <f>+SUM($N$60:AX$60)</f>
        <v>54341915</v>
      </c>
      <c r="AY252" s="418">
        <f>+SUM($N$60:AY$60)</f>
        <v>54341915</v>
      </c>
      <c r="AZ252" s="418">
        <f>+SUM($N$60:AZ$60)</f>
        <v>54341915</v>
      </c>
      <c r="BA252" s="419">
        <f>+SUM($N$60:BA$60)</f>
        <v>54341915</v>
      </c>
    </row>
    <row r="253" spans="1:53" s="246" customFormat="1" outlineLevel="1">
      <c r="A253" s="244"/>
      <c r="B253" s="244"/>
      <c r="C253" s="420"/>
      <c r="D253" s="421"/>
      <c r="E253" s="421" t="s">
        <v>630</v>
      </c>
      <c r="F253" s="421"/>
      <c r="G253" s="421"/>
      <c r="H253" s="421"/>
      <c r="I253" s="421"/>
      <c r="J253" s="422"/>
      <c r="K253" s="421"/>
      <c r="L253" s="421"/>
      <c r="M253" s="421"/>
      <c r="N253" s="422">
        <f>+SUM($N$47:N$47)</f>
        <v>0</v>
      </c>
      <c r="O253" s="422">
        <f>+SUM($N$47:O$47)</f>
        <v>2000000</v>
      </c>
      <c r="P253" s="422">
        <f>+SUM($N$47:P$47)</f>
        <v>3915000</v>
      </c>
      <c r="Q253" s="422">
        <f>+SUM($N$47:Q$47)</f>
        <v>5915000</v>
      </c>
      <c r="R253" s="422">
        <f>+SUM($N$47:R$47)</f>
        <v>7915000</v>
      </c>
      <c r="S253" s="422">
        <f>+SUM($N$47:S$47)</f>
        <v>9915000</v>
      </c>
      <c r="T253" s="422">
        <f>+SUM($N$47:T$47)</f>
        <v>11415000</v>
      </c>
      <c r="U253" s="422">
        <f>+SUM($N$47:U$47)</f>
        <v>12915000</v>
      </c>
      <c r="V253" s="422">
        <f>+SUM($N$47:V$47)</f>
        <v>14415000</v>
      </c>
      <c r="W253" s="422">
        <f>+SUM($N$47:W$47)</f>
        <v>15915000</v>
      </c>
      <c r="X253" s="422">
        <f>+SUM($N$47:X$47)</f>
        <v>17665000</v>
      </c>
      <c r="Y253" s="422">
        <f>+SUM($N$47:Y$47)</f>
        <v>19415000</v>
      </c>
      <c r="Z253" s="422">
        <f>+SUM($N$47:Z$47)</f>
        <v>19415000</v>
      </c>
      <c r="AA253" s="422">
        <f>+SUM($N$47:AA$47)</f>
        <v>19415000</v>
      </c>
      <c r="AB253" s="422">
        <f>+SUM($N$47:AB$47)</f>
        <v>19415000</v>
      </c>
      <c r="AC253" s="422">
        <f>+SUM($N$47:AC$47)</f>
        <v>19415000</v>
      </c>
      <c r="AD253" s="422">
        <f>+SUM($N$47:AD$47)</f>
        <v>19415000</v>
      </c>
      <c r="AE253" s="422">
        <f>+SUM($N$47:AE$47)</f>
        <v>19415000</v>
      </c>
      <c r="AF253" s="422">
        <f>+SUM($N$47:AF$47)</f>
        <v>19415000</v>
      </c>
      <c r="AG253" s="422">
        <f>+SUM($N$47:AG$47)</f>
        <v>19415000</v>
      </c>
      <c r="AH253" s="422">
        <f>+SUM($N$47:AH$47)</f>
        <v>19415000</v>
      </c>
      <c r="AI253" s="422">
        <f>+SUM($N$47:AI$47)</f>
        <v>19415000</v>
      </c>
      <c r="AJ253" s="422">
        <f>+SUM($N$47:AJ$47)</f>
        <v>19415000</v>
      </c>
      <c r="AK253" s="422">
        <f>+SUM($N$47:AK$47)</f>
        <v>19415000</v>
      </c>
      <c r="AL253" s="422">
        <f>+SUM($N$47:AL$47)</f>
        <v>19415000</v>
      </c>
      <c r="AM253" s="422">
        <f>+SUM($N$47:AM$47)</f>
        <v>19415000</v>
      </c>
      <c r="AN253" s="422">
        <f>+SUM($N$47:AN$47)</f>
        <v>19415000</v>
      </c>
      <c r="AO253" s="422">
        <f>+SUM($N$47:AO$47)</f>
        <v>19415000</v>
      </c>
      <c r="AP253" s="422">
        <f>+SUM($N$47:AP$47)</f>
        <v>19415000</v>
      </c>
      <c r="AQ253" s="422">
        <f>+SUM($N$47:AQ$47)</f>
        <v>19415000</v>
      </c>
      <c r="AR253" s="422">
        <f>+SUM($N$47:AR$47)</f>
        <v>19415000</v>
      </c>
      <c r="AS253" s="422">
        <f>+SUM($N$47:AS$47)</f>
        <v>19415000</v>
      </c>
      <c r="AT253" s="422">
        <f>+SUM($N$47:AT$47)</f>
        <v>19415000</v>
      </c>
      <c r="AU253" s="422">
        <f>+SUM($N$47:AU$47)</f>
        <v>19415000</v>
      </c>
      <c r="AV253" s="422">
        <f>+SUM($N$47:AV$47)</f>
        <v>19415000</v>
      </c>
      <c r="AW253" s="422">
        <f>+SUM($N$47:AW$47)</f>
        <v>19415000</v>
      </c>
      <c r="AX253" s="422">
        <f>+SUM($N$47:AX$47)</f>
        <v>19415000</v>
      </c>
      <c r="AY253" s="422">
        <f>+SUM($N$47:AY$47)</f>
        <v>19415000</v>
      </c>
      <c r="AZ253" s="422">
        <f>+SUM($N$47:AZ$47)</f>
        <v>19415000</v>
      </c>
      <c r="BA253" s="423">
        <f>+SUM($N$47:BA$47)</f>
        <v>19415000</v>
      </c>
    </row>
    <row r="254" spans="1:53" s="246" customFormat="1" outlineLevel="1">
      <c r="A254" s="244"/>
      <c r="B254" s="244"/>
      <c r="C254" s="424"/>
      <c r="D254" s="425"/>
      <c r="E254" s="425" t="s">
        <v>631</v>
      </c>
      <c r="F254" s="425"/>
      <c r="G254" s="425"/>
      <c r="H254" s="425"/>
      <c r="I254" s="425"/>
      <c r="J254" s="426"/>
      <c r="K254" s="425"/>
      <c r="L254" s="425"/>
      <c r="M254" s="425"/>
      <c r="N254" s="426">
        <f>+SUM($N$101:N$101)</f>
        <v>0</v>
      </c>
      <c r="O254" s="426">
        <f>+SUM($N$101:O$101)</f>
        <v>0</v>
      </c>
      <c r="P254" s="426">
        <f>+SUM($N$101:P$101)</f>
        <v>0</v>
      </c>
      <c r="Q254" s="426">
        <f>+SUM($N$101:Q$101)</f>
        <v>0</v>
      </c>
      <c r="R254" s="426">
        <f>+SUM($N$101:R$101)</f>
        <v>0</v>
      </c>
      <c r="S254" s="426">
        <f>+SUM($N$101:S$101)</f>
        <v>0</v>
      </c>
      <c r="T254" s="426">
        <f>+SUM($N$101:T$101)</f>
        <v>0</v>
      </c>
      <c r="U254" s="426">
        <f>+SUM($N$101:U$101)</f>
        <v>0</v>
      </c>
      <c r="V254" s="426">
        <f>+SUM($N$101:V$101)</f>
        <v>0</v>
      </c>
      <c r="W254" s="426">
        <f>+SUM($N$101:W$101)</f>
        <v>0</v>
      </c>
      <c r="X254" s="426">
        <f>+SUM($N$101:X$101)</f>
        <v>0</v>
      </c>
      <c r="Y254" s="426">
        <f>+SUM($N$101:Y$101)</f>
        <v>0</v>
      </c>
      <c r="Z254" s="426">
        <f>+SUM($N$101:Z$101)</f>
        <v>0</v>
      </c>
      <c r="AA254" s="426">
        <f>+SUM($N$101:AA$101)</f>
        <v>0</v>
      </c>
      <c r="AB254" s="426">
        <f>+SUM($N$101:AB$101)</f>
        <v>0</v>
      </c>
      <c r="AC254" s="426">
        <f>+SUM($N$101:AC$101)</f>
        <v>0</v>
      </c>
      <c r="AD254" s="426">
        <f>+SUM($N$101:AD$101)</f>
        <v>0</v>
      </c>
      <c r="AE254" s="426">
        <f>+SUM($N$101:AE$101)</f>
        <v>0</v>
      </c>
      <c r="AF254" s="426">
        <f>+SUM($N$101:AF$101)</f>
        <v>0</v>
      </c>
      <c r="AG254" s="426">
        <f>+SUM($N$101:AG$101)</f>
        <v>0</v>
      </c>
      <c r="AH254" s="426">
        <f>+SUM($N$101:AH$101)</f>
        <v>0</v>
      </c>
      <c r="AI254" s="426">
        <f>+SUM($N$101:AI$101)</f>
        <v>0</v>
      </c>
      <c r="AJ254" s="426">
        <f>+SUM($N$101:AJ$101)</f>
        <v>0</v>
      </c>
      <c r="AK254" s="426">
        <f>+SUM($N$101:AK$101)</f>
        <v>0</v>
      </c>
      <c r="AL254" s="426">
        <f>+SUM($N$101:AL$101)</f>
        <v>0</v>
      </c>
      <c r="AM254" s="426">
        <f>+SUM($N$101:AM$101)</f>
        <v>0</v>
      </c>
      <c r="AN254" s="426">
        <f>+SUM($N$101:AN$101)</f>
        <v>0</v>
      </c>
      <c r="AO254" s="426">
        <f>+SUM($N$101:AO$101)</f>
        <v>0</v>
      </c>
      <c r="AP254" s="426">
        <f>+SUM($N$101:AP$101)</f>
        <v>0</v>
      </c>
      <c r="AQ254" s="426">
        <f>+SUM($N$101:AQ$101)</f>
        <v>0</v>
      </c>
      <c r="AR254" s="426">
        <f>+SUM($N$101:AR$101)</f>
        <v>0</v>
      </c>
      <c r="AS254" s="426">
        <f>+SUM($N$101:AS$101)</f>
        <v>0</v>
      </c>
      <c r="AT254" s="426">
        <f>+SUM($N$101:AT$101)</f>
        <v>0</v>
      </c>
      <c r="AU254" s="426">
        <f>+SUM($N$101:AU$101)</f>
        <v>0</v>
      </c>
      <c r="AV254" s="426">
        <f>+SUM($N$101:AV$101)</f>
        <v>0</v>
      </c>
      <c r="AW254" s="426">
        <f>+SUM($N$101:AW$101)</f>
        <v>0</v>
      </c>
      <c r="AX254" s="426">
        <f>+SUM($N$101:AX$101)</f>
        <v>0</v>
      </c>
      <c r="AY254" s="426">
        <f>+SUM($N$101:AY$101)</f>
        <v>0</v>
      </c>
      <c r="AZ254" s="426">
        <f>+SUM($N$101:AZ$101)</f>
        <v>0</v>
      </c>
      <c r="BA254" s="427">
        <f>+SUM($N$101:BA$101)</f>
        <v>0</v>
      </c>
    </row>
    <row r="255" spans="1:53" s="246" customFormat="1" outlineLevel="1">
      <c r="A255" s="244"/>
      <c r="B255" s="244"/>
      <c r="C255" s="415"/>
      <c r="D255" s="416"/>
      <c r="E255" s="417" t="s">
        <v>632</v>
      </c>
      <c r="F255" s="417"/>
      <c r="G255" s="417"/>
      <c r="H255" s="417"/>
      <c r="I255" s="417"/>
      <c r="J255" s="417"/>
      <c r="K255" s="417"/>
      <c r="L255" s="417"/>
      <c r="M255" s="417"/>
      <c r="N255" s="418">
        <f t="shared" ref="N255:BA255" si="125">+N252-SUM(N253:N254)</f>
        <v>1058265</v>
      </c>
      <c r="O255" s="418">
        <f t="shared" si="125"/>
        <v>963119</v>
      </c>
      <c r="P255" s="418">
        <f t="shared" si="125"/>
        <v>1493403</v>
      </c>
      <c r="Q255" s="418">
        <f t="shared" si="125"/>
        <v>2606936</v>
      </c>
      <c r="R255" s="418">
        <f t="shared" si="125"/>
        <v>4423841</v>
      </c>
      <c r="S255" s="418">
        <f t="shared" si="125"/>
        <v>6922384</v>
      </c>
      <c r="T255" s="418">
        <f t="shared" si="125"/>
        <v>10568543</v>
      </c>
      <c r="U255" s="418">
        <f t="shared" si="125"/>
        <v>14758936</v>
      </c>
      <c r="V255" s="418">
        <f t="shared" si="125"/>
        <v>19385862</v>
      </c>
      <c r="W255" s="418">
        <f t="shared" si="125"/>
        <v>24399982</v>
      </c>
      <c r="X255" s="418">
        <f t="shared" si="125"/>
        <v>29511808</v>
      </c>
      <c r="Y255" s="418">
        <f t="shared" si="125"/>
        <v>34926915</v>
      </c>
      <c r="Z255" s="418">
        <f t="shared" si="125"/>
        <v>34926915</v>
      </c>
      <c r="AA255" s="418">
        <f t="shared" si="125"/>
        <v>34926915</v>
      </c>
      <c r="AB255" s="418">
        <f t="shared" si="125"/>
        <v>34926915</v>
      </c>
      <c r="AC255" s="418">
        <f t="shared" si="125"/>
        <v>34926915</v>
      </c>
      <c r="AD255" s="418">
        <f t="shared" si="125"/>
        <v>34926915</v>
      </c>
      <c r="AE255" s="418">
        <f t="shared" si="125"/>
        <v>34926915</v>
      </c>
      <c r="AF255" s="418">
        <f t="shared" si="125"/>
        <v>34926915</v>
      </c>
      <c r="AG255" s="418">
        <f t="shared" si="125"/>
        <v>34926915</v>
      </c>
      <c r="AH255" s="418">
        <f t="shared" si="125"/>
        <v>34926915</v>
      </c>
      <c r="AI255" s="418">
        <f t="shared" si="125"/>
        <v>34926915</v>
      </c>
      <c r="AJ255" s="418">
        <f t="shared" si="125"/>
        <v>34926915</v>
      </c>
      <c r="AK255" s="418">
        <f t="shared" si="125"/>
        <v>34926915</v>
      </c>
      <c r="AL255" s="418">
        <f t="shared" si="125"/>
        <v>34926915</v>
      </c>
      <c r="AM255" s="418">
        <f t="shared" si="125"/>
        <v>34926915</v>
      </c>
      <c r="AN255" s="418">
        <f t="shared" si="125"/>
        <v>34926915</v>
      </c>
      <c r="AO255" s="418">
        <f t="shared" si="125"/>
        <v>34926915</v>
      </c>
      <c r="AP255" s="418">
        <f t="shared" si="125"/>
        <v>34926915</v>
      </c>
      <c r="AQ255" s="418">
        <f t="shared" si="125"/>
        <v>34926915</v>
      </c>
      <c r="AR255" s="418">
        <f t="shared" si="125"/>
        <v>34926915</v>
      </c>
      <c r="AS255" s="418">
        <f t="shared" si="125"/>
        <v>34926915</v>
      </c>
      <c r="AT255" s="418">
        <f t="shared" si="125"/>
        <v>34926915</v>
      </c>
      <c r="AU255" s="418">
        <f t="shared" si="125"/>
        <v>34926915</v>
      </c>
      <c r="AV255" s="418">
        <f t="shared" si="125"/>
        <v>34926915</v>
      </c>
      <c r="AW255" s="418">
        <f t="shared" si="125"/>
        <v>34926915</v>
      </c>
      <c r="AX255" s="418">
        <f t="shared" si="125"/>
        <v>34926915</v>
      </c>
      <c r="AY255" s="418">
        <f t="shared" si="125"/>
        <v>34926915</v>
      </c>
      <c r="AZ255" s="418">
        <f t="shared" si="125"/>
        <v>34926915</v>
      </c>
      <c r="BA255" s="419">
        <f t="shared" si="125"/>
        <v>34926915</v>
      </c>
    </row>
    <row r="256" spans="1:53" s="246" customFormat="1" outlineLevel="1">
      <c r="A256" s="244"/>
      <c r="B256" s="244"/>
      <c r="C256" s="407"/>
      <c r="D256" s="408"/>
      <c r="E256" s="408" t="s">
        <v>633</v>
      </c>
      <c r="F256" s="408"/>
      <c r="G256" s="408"/>
      <c r="H256" s="408"/>
      <c r="I256" s="408"/>
      <c r="J256" s="408"/>
      <c r="K256" s="408"/>
      <c r="L256" s="408"/>
      <c r="M256" s="408"/>
      <c r="N256" s="409">
        <f>+SUM($N$19:N$19)</f>
        <v>29000</v>
      </c>
      <c r="O256" s="409">
        <f>+SUM($N$19:O$19)</f>
        <v>29000</v>
      </c>
      <c r="P256" s="409">
        <f>+SUM($N$19:P$19)</f>
        <v>29000</v>
      </c>
      <c r="Q256" s="409">
        <f>+SUM($N$19:Q$19)</f>
        <v>29000</v>
      </c>
      <c r="R256" s="409">
        <f>+SUM($N$19:R$19)</f>
        <v>29000</v>
      </c>
      <c r="S256" s="409">
        <f>+SUM($N$19:S$19)</f>
        <v>29000</v>
      </c>
      <c r="T256" s="409">
        <f>+SUM($N$19:T$19)</f>
        <v>29000</v>
      </c>
      <c r="U256" s="409">
        <f>+SUM($N$19:U$19)</f>
        <v>29000</v>
      </c>
      <c r="V256" s="409">
        <f>+SUM($N$19:V$19)</f>
        <v>29000</v>
      </c>
      <c r="W256" s="409">
        <f>+SUM($N$19:W$19)</f>
        <v>29000</v>
      </c>
      <c r="X256" s="409">
        <f>+SUM($N$19:X$19)</f>
        <v>29000</v>
      </c>
      <c r="Y256" s="409">
        <f>+SUM($N$19:Y$19)</f>
        <v>29000</v>
      </c>
      <c r="Z256" s="409">
        <f>+SUM($N$19:Z$19)</f>
        <v>29000</v>
      </c>
      <c r="AA256" s="409">
        <f>+SUM($N$19:AA$19)</f>
        <v>29000</v>
      </c>
      <c r="AB256" s="409">
        <f>+SUM($N$19:AB$19)</f>
        <v>29000</v>
      </c>
      <c r="AC256" s="409">
        <f>+SUM($N$19:AC$19)</f>
        <v>29000</v>
      </c>
      <c r="AD256" s="409">
        <f>+SUM($N$19:AD$19)</f>
        <v>29000</v>
      </c>
      <c r="AE256" s="409">
        <f>+SUM($N$19:AE$19)</f>
        <v>29000</v>
      </c>
      <c r="AF256" s="409">
        <f>+SUM($N$19:AF$19)</f>
        <v>29000</v>
      </c>
      <c r="AG256" s="409">
        <f>+SUM($N$19:AG$19)</f>
        <v>29000</v>
      </c>
      <c r="AH256" s="409">
        <f>+SUM($N$19:AH$19)</f>
        <v>29000</v>
      </c>
      <c r="AI256" s="409">
        <f>+SUM($N$19:AI$19)</f>
        <v>29000</v>
      </c>
      <c r="AJ256" s="409">
        <f>+SUM($N$19:AJ$19)</f>
        <v>29000</v>
      </c>
      <c r="AK256" s="409">
        <f>+SUM($N$19:AK$19)</f>
        <v>29000</v>
      </c>
      <c r="AL256" s="409">
        <f>+SUM($N$19:AL$19)</f>
        <v>29000</v>
      </c>
      <c r="AM256" s="409">
        <f>+SUM($N$19:AM$19)</f>
        <v>29000</v>
      </c>
      <c r="AN256" s="409">
        <f>+SUM($N$19:AN$19)</f>
        <v>29000</v>
      </c>
      <c r="AO256" s="409">
        <f>+SUM($N$19:AO$19)</f>
        <v>29000</v>
      </c>
      <c r="AP256" s="409">
        <f>+SUM($N$19:AP$19)</f>
        <v>29000</v>
      </c>
      <c r="AQ256" s="409">
        <f>+SUM($N$19:AQ$19)</f>
        <v>29000</v>
      </c>
      <c r="AR256" s="409">
        <f>+SUM($N$19:AR$19)</f>
        <v>29000</v>
      </c>
      <c r="AS256" s="409">
        <f>+SUM($N$19:AS$19)</f>
        <v>29000</v>
      </c>
      <c r="AT256" s="409">
        <f>+SUM($N$19:AT$19)</f>
        <v>29000</v>
      </c>
      <c r="AU256" s="409">
        <f>+SUM($N$19:AU$19)</f>
        <v>29000</v>
      </c>
      <c r="AV256" s="409">
        <f>+SUM($N$19:AV$19)</f>
        <v>29000</v>
      </c>
      <c r="AW256" s="409">
        <f>+SUM($N$19:AW$19)</f>
        <v>29000</v>
      </c>
      <c r="AX256" s="409">
        <f>+SUM($N$19:AX$19)</f>
        <v>29000</v>
      </c>
      <c r="AY256" s="409">
        <f>+SUM($N$19:AY$19)</f>
        <v>29000</v>
      </c>
      <c r="AZ256" s="409">
        <f>+SUM($N$19:AZ$19)</f>
        <v>29000</v>
      </c>
      <c r="BA256" s="410">
        <f>+SUM($N$19:BA$19)</f>
        <v>29000</v>
      </c>
    </row>
    <row r="257" spans="1:53" s="246" customFormat="1" outlineLevel="1">
      <c r="A257" s="244"/>
      <c r="B257" s="244"/>
      <c r="C257" s="424"/>
      <c r="D257" s="425"/>
      <c r="E257" s="425" t="s">
        <v>634</v>
      </c>
      <c r="F257" s="425"/>
      <c r="G257" s="425"/>
      <c r="H257" s="425"/>
      <c r="I257" s="425"/>
      <c r="J257" s="425"/>
      <c r="K257" s="425"/>
      <c r="L257" s="425"/>
      <c r="M257" s="425"/>
      <c r="N257" s="426">
        <f>+SUM($N$20:N$20)</f>
        <v>10785085</v>
      </c>
      <c r="O257" s="426">
        <f>+SUM($N$20:O$20)</f>
        <v>33035085</v>
      </c>
      <c r="P257" s="426">
        <f>+SUM($N$20:P$20)</f>
        <v>33535085</v>
      </c>
      <c r="Q257" s="426">
        <f>+SUM($N$20:Q$20)</f>
        <v>34035085</v>
      </c>
      <c r="R257" s="426">
        <f>+SUM($N$20:R$20)</f>
        <v>34535085</v>
      </c>
      <c r="S257" s="426">
        <f>+SUM($N$20:S$20)</f>
        <v>35035085</v>
      </c>
      <c r="T257" s="426">
        <f>+SUM($N$20:T$20)</f>
        <v>35535085</v>
      </c>
      <c r="U257" s="426">
        <f>+SUM($N$20:U$20)</f>
        <v>36035085</v>
      </c>
      <c r="V257" s="426">
        <f>+SUM($N$20:V$20)</f>
        <v>36535085</v>
      </c>
      <c r="W257" s="426">
        <f>+SUM($N$20:W$20)</f>
        <v>37035085</v>
      </c>
      <c r="X257" s="426">
        <f>+SUM($N$20:X$20)</f>
        <v>37035085</v>
      </c>
      <c r="Y257" s="426">
        <f>+SUM($N$20:Y$20)</f>
        <v>37035085</v>
      </c>
      <c r="Z257" s="426">
        <f>+SUM($N$20:Z$20)</f>
        <v>37035085</v>
      </c>
      <c r="AA257" s="426">
        <f>+SUM($N$20:AA$20)</f>
        <v>37035085</v>
      </c>
      <c r="AB257" s="426">
        <f>+SUM($N$20:AB$20)</f>
        <v>37035085</v>
      </c>
      <c r="AC257" s="426">
        <f>+SUM($N$20:AC$20)</f>
        <v>37035085</v>
      </c>
      <c r="AD257" s="426">
        <f>+SUM($N$20:AD$20)</f>
        <v>37035085</v>
      </c>
      <c r="AE257" s="426">
        <f>+SUM($N$20:AE$20)</f>
        <v>37035085</v>
      </c>
      <c r="AF257" s="426">
        <f>+SUM($N$20:AF$20)</f>
        <v>37035085</v>
      </c>
      <c r="AG257" s="426">
        <f>+SUM($N$20:AG$20)</f>
        <v>37035085</v>
      </c>
      <c r="AH257" s="426">
        <f>+SUM($N$20:AH$20)</f>
        <v>37035085</v>
      </c>
      <c r="AI257" s="426">
        <f>+SUM($N$20:AI$20)</f>
        <v>37035085</v>
      </c>
      <c r="AJ257" s="426">
        <f>+SUM($N$20:AJ$20)</f>
        <v>37035085</v>
      </c>
      <c r="AK257" s="426">
        <f>+SUM($N$20:AK$20)</f>
        <v>37035085</v>
      </c>
      <c r="AL257" s="426">
        <f>+SUM($N$20:AL$20)</f>
        <v>37035085</v>
      </c>
      <c r="AM257" s="426">
        <f>+SUM($N$20:AM$20)</f>
        <v>37035085</v>
      </c>
      <c r="AN257" s="426">
        <f>+SUM($N$20:AN$20)</f>
        <v>37035085</v>
      </c>
      <c r="AO257" s="426">
        <f>+SUM($N$20:AO$20)</f>
        <v>37035085</v>
      </c>
      <c r="AP257" s="426">
        <f>+SUM($N$20:AP$20)</f>
        <v>37035085</v>
      </c>
      <c r="AQ257" s="426">
        <f>+SUM($N$20:AQ$20)</f>
        <v>37035085</v>
      </c>
      <c r="AR257" s="426">
        <f>+SUM($N$20:AR$20)</f>
        <v>37035085</v>
      </c>
      <c r="AS257" s="426">
        <f>+SUM($N$20:AS$20)</f>
        <v>37035085</v>
      </c>
      <c r="AT257" s="426">
        <f>+SUM($N$20:AT$20)</f>
        <v>37035085</v>
      </c>
      <c r="AU257" s="426">
        <f>+SUM($N$20:AU$20)</f>
        <v>37035085</v>
      </c>
      <c r="AV257" s="426">
        <f>+SUM($N$20:AV$20)</f>
        <v>37035085</v>
      </c>
      <c r="AW257" s="426">
        <f>+SUM($N$20:AW$20)</f>
        <v>37035085</v>
      </c>
      <c r="AX257" s="426">
        <f>+SUM($N$20:AX$20)</f>
        <v>37035085</v>
      </c>
      <c r="AY257" s="426">
        <f>+SUM($N$20:AY$20)</f>
        <v>37035085</v>
      </c>
      <c r="AZ257" s="426">
        <f>+SUM($N$20:AZ$20)</f>
        <v>37035085</v>
      </c>
      <c r="BA257" s="427">
        <f>+SUM($N$20:BA$20)</f>
        <v>37035085</v>
      </c>
    </row>
    <row r="258" spans="1:53" s="246" customFormat="1" outlineLevel="1">
      <c r="A258" s="244"/>
      <c r="B258" s="244"/>
      <c r="C258" s="428"/>
      <c r="D258" s="429"/>
      <c r="E258" s="429" t="s">
        <v>635</v>
      </c>
      <c r="F258" s="429"/>
      <c r="G258" s="429"/>
      <c r="H258" s="429"/>
      <c r="I258" s="429"/>
      <c r="J258" s="429"/>
      <c r="K258" s="429"/>
      <c r="L258" s="429"/>
      <c r="M258" s="429"/>
      <c r="N258" s="430">
        <f>+SUM($N$30:N$30)</f>
        <v>26534888</v>
      </c>
      <c r="O258" s="430">
        <f>+SUM($N$30:O$30)</f>
        <v>49689742</v>
      </c>
      <c r="P258" s="430">
        <f>+SUM($N$30:P$30)</f>
        <v>50720026</v>
      </c>
      <c r="Q258" s="430">
        <f>+SUM($N$30:Q$30)</f>
        <v>52333559</v>
      </c>
      <c r="R258" s="430">
        <f>+SUM($N$30:R$30)</f>
        <v>54650464</v>
      </c>
      <c r="S258" s="430">
        <f>+SUM($N$30:S$30)</f>
        <v>57649007</v>
      </c>
      <c r="T258" s="430">
        <f>+SUM($N$30:T$30)</f>
        <v>61795166</v>
      </c>
      <c r="U258" s="430">
        <f>+SUM($N$30:U$30)</f>
        <v>66485559</v>
      </c>
      <c r="V258" s="430">
        <f>+SUM($N$30:V$30)</f>
        <v>71612485</v>
      </c>
      <c r="W258" s="430">
        <f>+SUM($N$30:W$30)</f>
        <v>77126605</v>
      </c>
      <c r="X258" s="430">
        <f>+SUM($N$30:X$30)</f>
        <v>82238431</v>
      </c>
      <c r="Y258" s="430">
        <f>+SUM($N$30:Y$30)</f>
        <v>87653538</v>
      </c>
      <c r="Z258" s="430">
        <f>+SUM($N$30:Z$30)</f>
        <v>87653538</v>
      </c>
      <c r="AA258" s="430">
        <f>+SUM($N$30:AA$30)</f>
        <v>87653538</v>
      </c>
      <c r="AB258" s="430">
        <f>+SUM($N$30:AB$30)</f>
        <v>87653538</v>
      </c>
      <c r="AC258" s="430">
        <f>+SUM($N$30:AC$30)</f>
        <v>87653538</v>
      </c>
      <c r="AD258" s="430">
        <f>+SUM($N$30:AD$30)</f>
        <v>87653538</v>
      </c>
      <c r="AE258" s="430">
        <f>+SUM($N$30:AE$30)</f>
        <v>87653538</v>
      </c>
      <c r="AF258" s="430">
        <f>+SUM($N$30:AF$30)</f>
        <v>87653538</v>
      </c>
      <c r="AG258" s="430">
        <f>+SUM($N$30:AG$30)</f>
        <v>87653538</v>
      </c>
      <c r="AH258" s="430">
        <f>+SUM($N$30:AH$30)</f>
        <v>87653538</v>
      </c>
      <c r="AI258" s="430">
        <f>+SUM($N$30:AI$30)</f>
        <v>87653538</v>
      </c>
      <c r="AJ258" s="430">
        <f>+SUM($N$30:AJ$30)</f>
        <v>87653538</v>
      </c>
      <c r="AK258" s="430">
        <f>+SUM($N$30:AK$30)</f>
        <v>87653538</v>
      </c>
      <c r="AL258" s="430">
        <f>+SUM($N$30:AL$30)</f>
        <v>87653538</v>
      </c>
      <c r="AM258" s="430">
        <f>+SUM($N$30:AM$30)</f>
        <v>87653538</v>
      </c>
      <c r="AN258" s="430">
        <f>+SUM($N$30:AN$30)</f>
        <v>87653538</v>
      </c>
      <c r="AO258" s="430">
        <f>+SUM($N$30:AO$30)</f>
        <v>87653538</v>
      </c>
      <c r="AP258" s="430">
        <f>+SUM($N$30:AP$30)</f>
        <v>87653538</v>
      </c>
      <c r="AQ258" s="430">
        <f>+SUM($N$30:AQ$30)</f>
        <v>87653538</v>
      </c>
      <c r="AR258" s="430">
        <f>+SUM($N$30:AR$30)</f>
        <v>87653538</v>
      </c>
      <c r="AS258" s="430">
        <f>+SUM($N$30:AS$30)</f>
        <v>87653538</v>
      </c>
      <c r="AT258" s="430">
        <f>+SUM($N$30:AT$30)</f>
        <v>87653538</v>
      </c>
      <c r="AU258" s="430">
        <f>+SUM($N$30:AU$30)</f>
        <v>87653538</v>
      </c>
      <c r="AV258" s="430">
        <f>+SUM($N$30:AV$30)</f>
        <v>87653538</v>
      </c>
      <c r="AW258" s="430">
        <f>+SUM($N$30:AW$30)</f>
        <v>87653538</v>
      </c>
      <c r="AX258" s="430">
        <f>+SUM($N$30:AX$30)</f>
        <v>87653538</v>
      </c>
      <c r="AY258" s="430">
        <f>+SUM($N$30:AY$30)</f>
        <v>87653538</v>
      </c>
      <c r="AZ258" s="430">
        <f>+SUM($N$30:AZ$30)</f>
        <v>87653538</v>
      </c>
      <c r="BA258" s="431">
        <f>+SUM($N$30:BA$30)</f>
        <v>87653538</v>
      </c>
    </row>
    <row r="259" spans="1:53" s="246" customFormat="1" outlineLevel="1">
      <c r="A259" s="244"/>
      <c r="B259" s="244"/>
      <c r="C259" s="432"/>
      <c r="D259" s="433"/>
      <c r="E259" s="434" t="s">
        <v>636</v>
      </c>
      <c r="F259" s="434"/>
      <c r="G259" s="434"/>
      <c r="H259" s="434"/>
      <c r="I259" s="434"/>
      <c r="J259" s="434"/>
      <c r="K259" s="434"/>
      <c r="L259" s="434"/>
      <c r="M259" s="434"/>
      <c r="N259" s="435">
        <f t="shared" ref="N259:BA259" si="126">+N256+N257-N258</f>
        <v>-15720803</v>
      </c>
      <c r="O259" s="435">
        <f t="shared" si="126"/>
        <v>-16625657</v>
      </c>
      <c r="P259" s="435">
        <f t="shared" si="126"/>
        <v>-17155941</v>
      </c>
      <c r="Q259" s="435">
        <f t="shared" si="126"/>
        <v>-18269474</v>
      </c>
      <c r="R259" s="435">
        <f t="shared" si="126"/>
        <v>-20086379</v>
      </c>
      <c r="S259" s="435">
        <f t="shared" si="126"/>
        <v>-22584922</v>
      </c>
      <c r="T259" s="435">
        <f t="shared" si="126"/>
        <v>-26231081</v>
      </c>
      <c r="U259" s="435">
        <f t="shared" si="126"/>
        <v>-30421474</v>
      </c>
      <c r="V259" s="435">
        <f t="shared" si="126"/>
        <v>-35048400</v>
      </c>
      <c r="W259" s="435">
        <f t="shared" si="126"/>
        <v>-40062520</v>
      </c>
      <c r="X259" s="435">
        <f t="shared" si="126"/>
        <v>-45174346</v>
      </c>
      <c r="Y259" s="435">
        <f t="shared" si="126"/>
        <v>-50589453</v>
      </c>
      <c r="Z259" s="435">
        <f t="shared" si="126"/>
        <v>-50589453</v>
      </c>
      <c r="AA259" s="435">
        <f t="shared" si="126"/>
        <v>-50589453</v>
      </c>
      <c r="AB259" s="435">
        <f t="shared" si="126"/>
        <v>-50589453</v>
      </c>
      <c r="AC259" s="435">
        <f t="shared" si="126"/>
        <v>-50589453</v>
      </c>
      <c r="AD259" s="435">
        <f t="shared" si="126"/>
        <v>-50589453</v>
      </c>
      <c r="AE259" s="435">
        <f t="shared" si="126"/>
        <v>-50589453</v>
      </c>
      <c r="AF259" s="435">
        <f t="shared" si="126"/>
        <v>-50589453</v>
      </c>
      <c r="AG259" s="435">
        <f t="shared" si="126"/>
        <v>-50589453</v>
      </c>
      <c r="AH259" s="435">
        <f t="shared" si="126"/>
        <v>-50589453</v>
      </c>
      <c r="AI259" s="435">
        <f t="shared" si="126"/>
        <v>-50589453</v>
      </c>
      <c r="AJ259" s="435">
        <f t="shared" si="126"/>
        <v>-50589453</v>
      </c>
      <c r="AK259" s="435">
        <f t="shared" si="126"/>
        <v>-50589453</v>
      </c>
      <c r="AL259" s="435">
        <f t="shared" si="126"/>
        <v>-50589453</v>
      </c>
      <c r="AM259" s="435">
        <f t="shared" si="126"/>
        <v>-50589453</v>
      </c>
      <c r="AN259" s="435">
        <f t="shared" si="126"/>
        <v>-50589453</v>
      </c>
      <c r="AO259" s="435">
        <f t="shared" si="126"/>
        <v>-50589453</v>
      </c>
      <c r="AP259" s="435">
        <f t="shared" si="126"/>
        <v>-50589453</v>
      </c>
      <c r="AQ259" s="435">
        <f t="shared" si="126"/>
        <v>-50589453</v>
      </c>
      <c r="AR259" s="435">
        <f t="shared" si="126"/>
        <v>-50589453</v>
      </c>
      <c r="AS259" s="435">
        <f t="shared" si="126"/>
        <v>-50589453</v>
      </c>
      <c r="AT259" s="435">
        <f t="shared" si="126"/>
        <v>-50589453</v>
      </c>
      <c r="AU259" s="435">
        <f t="shared" si="126"/>
        <v>-50589453</v>
      </c>
      <c r="AV259" s="435">
        <f t="shared" si="126"/>
        <v>-50589453</v>
      </c>
      <c r="AW259" s="435">
        <f t="shared" si="126"/>
        <v>-50589453</v>
      </c>
      <c r="AX259" s="435">
        <f t="shared" si="126"/>
        <v>-50589453</v>
      </c>
      <c r="AY259" s="435">
        <f t="shared" si="126"/>
        <v>-50589453</v>
      </c>
      <c r="AZ259" s="435">
        <f t="shared" si="126"/>
        <v>-50589453</v>
      </c>
      <c r="BA259" s="436">
        <f t="shared" si="126"/>
        <v>-50589453</v>
      </c>
    </row>
    <row r="260" spans="1:53" s="246" customFormat="1" ht="15">
      <c r="A260" s="244"/>
      <c r="B260" s="244"/>
      <c r="C260" s="1"/>
      <c r="D260" s="1"/>
      <c r="E260" s="224"/>
      <c r="F260" s="224"/>
      <c r="G260" s="224"/>
      <c r="H260" s="224"/>
      <c r="I260" s="22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s="246" customFormat="1" ht="15">
      <c r="A261" s="244"/>
      <c r="B261" s="244"/>
      <c r="C261" s="1"/>
      <c r="D261" s="1"/>
      <c r="E261" s="224" t="s">
        <v>637</v>
      </c>
      <c r="F261" s="224"/>
      <c r="G261" s="224"/>
      <c r="H261" s="224"/>
      <c r="I261" s="224"/>
      <c r="J261" s="15"/>
      <c r="K261" s="15"/>
      <c r="L261" s="15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 s="246" customFormat="1" ht="15" outlineLevel="1">
      <c r="A262" s="244"/>
      <c r="B262" s="244"/>
      <c r="C262" s="1"/>
      <c r="D262" s="1"/>
      <c r="E262" s="437" t="s">
        <v>638</v>
      </c>
      <c r="F262" s="437"/>
      <c r="G262" s="437"/>
      <c r="H262" s="437"/>
      <c r="I262" s="437"/>
      <c r="J262" s="15"/>
      <c r="K262" s="15"/>
      <c r="L262" s="15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 s="246" customFormat="1" outlineLevel="1">
      <c r="A263" s="244"/>
      <c r="B263" s="244"/>
      <c r="C263" s="1"/>
      <c r="D263" s="1"/>
      <c r="E263" s="438">
        <v>0.05</v>
      </c>
      <c r="F263" s="15"/>
      <c r="G263" s="15"/>
      <c r="H263" s="15"/>
      <c r="I263" s="15"/>
      <c r="J263" s="15"/>
      <c r="K263" s="15"/>
      <c r="L263" s="15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 s="246" customFormat="1" outlineLevel="1">
      <c r="A264" s="244"/>
      <c r="B264" s="244"/>
      <c r="C264" s="1"/>
      <c r="D264" s="1"/>
      <c r="E264" s="439">
        <v>0.1</v>
      </c>
      <c r="F264" s="15"/>
      <c r="G264" s="15"/>
      <c r="H264" s="15"/>
      <c r="I264" s="15"/>
      <c r="J264" s="15"/>
      <c r="K264" s="15"/>
      <c r="L264" s="15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s="246" customFormat="1" outlineLevel="1">
      <c r="A265" s="244"/>
      <c r="B265" s="244"/>
      <c r="C265" s="1"/>
      <c r="D265" s="1"/>
      <c r="E265" s="440">
        <v>0.2</v>
      </c>
      <c r="F265" s="147">
        <f t="shared" ref="F265:BA265" si="127">+F$9</f>
        <v>2015</v>
      </c>
      <c r="G265" s="147">
        <f t="shared" si="127"/>
        <v>2016</v>
      </c>
      <c r="H265" s="147">
        <f t="shared" si="127"/>
        <v>2017</v>
      </c>
      <c r="I265" s="147">
        <f t="shared" si="127"/>
        <v>2018</v>
      </c>
      <c r="J265" s="147">
        <f t="shared" si="127"/>
        <v>2019</v>
      </c>
      <c r="K265" s="148">
        <f t="shared" si="127"/>
        <v>2020</v>
      </c>
      <c r="L265" s="148">
        <f t="shared" si="127"/>
        <v>2021</v>
      </c>
      <c r="M265" s="149">
        <f t="shared" si="127"/>
        <v>2021</v>
      </c>
      <c r="N265" s="150">
        <f t="shared" si="127"/>
        <v>2022</v>
      </c>
      <c r="O265" s="151">
        <f t="shared" si="127"/>
        <v>2023</v>
      </c>
      <c r="P265" s="151">
        <f t="shared" si="127"/>
        <v>2024</v>
      </c>
      <c r="Q265" s="151">
        <f t="shared" si="127"/>
        <v>2025</v>
      </c>
      <c r="R265" s="151">
        <f t="shared" si="127"/>
        <v>2026</v>
      </c>
      <c r="S265" s="151">
        <f t="shared" si="127"/>
        <v>2027</v>
      </c>
      <c r="T265" s="151">
        <f t="shared" si="127"/>
        <v>2028</v>
      </c>
      <c r="U265" s="151">
        <f t="shared" si="127"/>
        <v>2029</v>
      </c>
      <c r="V265" s="151">
        <f t="shared" si="127"/>
        <v>2030</v>
      </c>
      <c r="W265" s="151">
        <f t="shared" si="127"/>
        <v>2031</v>
      </c>
      <c r="X265" s="151">
        <f t="shared" si="127"/>
        <v>2032</v>
      </c>
      <c r="Y265" s="151">
        <f t="shared" si="127"/>
        <v>2033</v>
      </c>
      <c r="Z265" s="151">
        <f t="shared" si="127"/>
        <v>2034</v>
      </c>
      <c r="AA265" s="151">
        <f t="shared" si="127"/>
        <v>2035</v>
      </c>
      <c r="AB265" s="151">
        <f t="shared" si="127"/>
        <v>2036</v>
      </c>
      <c r="AC265" s="151">
        <f t="shared" si="127"/>
        <v>2037</v>
      </c>
      <c r="AD265" s="151">
        <f t="shared" si="127"/>
        <v>2038</v>
      </c>
      <c r="AE265" s="151">
        <f t="shared" si="127"/>
        <v>2039</v>
      </c>
      <c r="AF265" s="151">
        <f t="shared" si="127"/>
        <v>2040</v>
      </c>
      <c r="AG265" s="151">
        <f t="shared" si="127"/>
        <v>2041</v>
      </c>
      <c r="AH265" s="151">
        <f t="shared" si="127"/>
        <v>2042</v>
      </c>
      <c r="AI265" s="151">
        <f t="shared" si="127"/>
        <v>2043</v>
      </c>
      <c r="AJ265" s="151">
        <f t="shared" si="127"/>
        <v>2044</v>
      </c>
      <c r="AK265" s="151">
        <f t="shared" si="127"/>
        <v>2045</v>
      </c>
      <c r="AL265" s="151">
        <f t="shared" si="127"/>
        <v>2046</v>
      </c>
      <c r="AM265" s="151">
        <f t="shared" si="127"/>
        <v>2047</v>
      </c>
      <c r="AN265" s="151">
        <f t="shared" si="127"/>
        <v>2048</v>
      </c>
      <c r="AO265" s="151">
        <f t="shared" si="127"/>
        <v>2049</v>
      </c>
      <c r="AP265" s="151">
        <f t="shared" si="127"/>
        <v>2050</v>
      </c>
      <c r="AQ265" s="151">
        <f t="shared" si="127"/>
        <v>2051</v>
      </c>
      <c r="AR265" s="151">
        <f t="shared" si="127"/>
        <v>2052</v>
      </c>
      <c r="AS265" s="151">
        <f t="shared" si="127"/>
        <v>2053</v>
      </c>
      <c r="AT265" s="151">
        <f t="shared" si="127"/>
        <v>2054</v>
      </c>
      <c r="AU265" s="151">
        <f t="shared" si="127"/>
        <v>2055</v>
      </c>
      <c r="AV265" s="151">
        <f t="shared" si="127"/>
        <v>2056</v>
      </c>
      <c r="AW265" s="151">
        <f t="shared" si="127"/>
        <v>2057</v>
      </c>
      <c r="AX265" s="151">
        <f t="shared" si="127"/>
        <v>2058</v>
      </c>
      <c r="AY265" s="151">
        <f t="shared" si="127"/>
        <v>2059</v>
      </c>
      <c r="AZ265" s="151">
        <f t="shared" si="127"/>
        <v>2060</v>
      </c>
      <c r="BA265" s="484">
        <f t="shared" si="127"/>
        <v>2061</v>
      </c>
    </row>
    <row r="266" spans="1:53" s="246" customFormat="1" outlineLevel="1">
      <c r="A266" s="244"/>
      <c r="B266" s="244"/>
      <c r="C266" s="441">
        <v>1</v>
      </c>
      <c r="D266" s="442"/>
      <c r="E266" s="443" t="s">
        <v>23</v>
      </c>
      <c r="F266" s="444" t="s">
        <v>27</v>
      </c>
      <c r="G266" s="445">
        <f t="shared" ref="G266:L267" si="128">+IF(F10&lt;&gt;0,ROUND(G10/F10-1,4),0)</f>
        <v>0.13070000000000001</v>
      </c>
      <c r="H266" s="445">
        <f t="shared" si="128"/>
        <v>-7.1999999999999998E-3</v>
      </c>
      <c r="I266" s="445">
        <f t="shared" si="128"/>
        <v>0.17580000000000001</v>
      </c>
      <c r="J266" s="445">
        <f t="shared" si="128"/>
        <v>0.1822</v>
      </c>
      <c r="K266" s="445">
        <f t="shared" si="128"/>
        <v>6.3399999999999998E-2</v>
      </c>
      <c r="L266" s="445">
        <f t="shared" si="128"/>
        <v>-0.11409999999999999</v>
      </c>
      <c r="M266" s="445">
        <f>+IF(K10&lt;&gt;0,ROUND(M10/K10-1,4),0)</f>
        <v>8.3299999999999999E-2</v>
      </c>
      <c r="N266" s="445">
        <f t="shared" ref="N266:BA267" si="129">+IF(M10&lt;&gt;0,ROUND(N10/M10-1,4),0)</f>
        <v>-0.10290000000000001</v>
      </c>
      <c r="O266" s="445">
        <f t="shared" si="129"/>
        <v>0.21299999999999999</v>
      </c>
      <c r="P266" s="445">
        <f t="shared" si="129"/>
        <v>-0.27089999999999997</v>
      </c>
      <c r="Q266" s="445">
        <f t="shared" si="129"/>
        <v>3.4700000000000002E-2</v>
      </c>
      <c r="R266" s="445">
        <f t="shared" si="129"/>
        <v>3.4700000000000002E-2</v>
      </c>
      <c r="S266" s="445">
        <f t="shared" si="129"/>
        <v>3.3700000000000001E-2</v>
      </c>
      <c r="T266" s="445">
        <f t="shared" si="129"/>
        <v>3.27E-2</v>
      </c>
      <c r="U266" s="445">
        <f t="shared" si="129"/>
        <v>3.0700000000000002E-2</v>
      </c>
      <c r="V266" s="445">
        <f t="shared" si="129"/>
        <v>2.8799999999999999E-2</v>
      </c>
      <c r="W266" s="445">
        <f t="shared" si="129"/>
        <v>2.7799999999999998E-2</v>
      </c>
      <c r="X266" s="445">
        <f t="shared" si="129"/>
        <v>1.9300000000000001E-2</v>
      </c>
      <c r="Y266" s="445">
        <f t="shared" si="129"/>
        <v>2.5999999999999999E-2</v>
      </c>
      <c r="Z266" s="445">
        <f t="shared" si="129"/>
        <v>-1</v>
      </c>
      <c r="AA266" s="445">
        <f t="shared" si="129"/>
        <v>0</v>
      </c>
      <c r="AB266" s="445">
        <f t="shared" si="129"/>
        <v>0</v>
      </c>
      <c r="AC266" s="445">
        <f t="shared" si="129"/>
        <v>0</v>
      </c>
      <c r="AD266" s="445">
        <f t="shared" si="129"/>
        <v>0</v>
      </c>
      <c r="AE266" s="445">
        <f t="shared" si="129"/>
        <v>0</v>
      </c>
      <c r="AF266" s="445">
        <f t="shared" si="129"/>
        <v>0</v>
      </c>
      <c r="AG266" s="445">
        <f t="shared" si="129"/>
        <v>0</v>
      </c>
      <c r="AH266" s="445">
        <f t="shared" si="129"/>
        <v>0</v>
      </c>
      <c r="AI266" s="445">
        <f t="shared" si="129"/>
        <v>0</v>
      </c>
      <c r="AJ266" s="445">
        <f t="shared" si="129"/>
        <v>0</v>
      </c>
      <c r="AK266" s="445">
        <f t="shared" si="129"/>
        <v>0</v>
      </c>
      <c r="AL266" s="445">
        <f t="shared" si="129"/>
        <v>0</v>
      </c>
      <c r="AM266" s="445">
        <f t="shared" si="129"/>
        <v>0</v>
      </c>
      <c r="AN266" s="445">
        <f t="shared" si="129"/>
        <v>0</v>
      </c>
      <c r="AO266" s="445">
        <f t="shared" si="129"/>
        <v>0</v>
      </c>
      <c r="AP266" s="445">
        <f t="shared" si="129"/>
        <v>0</v>
      </c>
      <c r="AQ266" s="445">
        <f t="shared" si="129"/>
        <v>0</v>
      </c>
      <c r="AR266" s="445">
        <f t="shared" si="129"/>
        <v>0</v>
      </c>
      <c r="AS266" s="445">
        <f t="shared" si="129"/>
        <v>0</v>
      </c>
      <c r="AT266" s="445">
        <f t="shared" si="129"/>
        <v>0</v>
      </c>
      <c r="AU266" s="445">
        <f t="shared" si="129"/>
        <v>0</v>
      </c>
      <c r="AV266" s="445">
        <f t="shared" si="129"/>
        <v>0</v>
      </c>
      <c r="AW266" s="445">
        <f t="shared" si="129"/>
        <v>0</v>
      </c>
      <c r="AX266" s="445">
        <f t="shared" si="129"/>
        <v>0</v>
      </c>
      <c r="AY266" s="445">
        <f t="shared" si="129"/>
        <v>0</v>
      </c>
      <c r="AZ266" s="445">
        <f t="shared" si="129"/>
        <v>0</v>
      </c>
      <c r="BA266" s="446">
        <f t="shared" si="129"/>
        <v>0</v>
      </c>
    </row>
    <row r="267" spans="1:53" s="246" customFormat="1" outlineLevel="1">
      <c r="A267" s="244"/>
      <c r="B267" s="244"/>
      <c r="C267" s="65" t="s">
        <v>51</v>
      </c>
      <c r="D267" s="86" t="s">
        <v>357</v>
      </c>
      <c r="E267" s="447" t="s">
        <v>313</v>
      </c>
      <c r="F267" s="448" t="s">
        <v>27</v>
      </c>
      <c r="G267" s="449">
        <f t="shared" si="128"/>
        <v>7.46E-2</v>
      </c>
      <c r="H267" s="449">
        <f t="shared" si="128"/>
        <v>4.1799999999999997E-2</v>
      </c>
      <c r="I267" s="449">
        <f t="shared" si="128"/>
        <v>6.3799999999999996E-2</v>
      </c>
      <c r="J267" s="449">
        <f t="shared" si="128"/>
        <v>0.1198</v>
      </c>
      <c r="K267" s="449">
        <f t="shared" si="128"/>
        <v>5.6500000000000002E-2</v>
      </c>
      <c r="L267" s="449">
        <f t="shared" si="128"/>
        <v>3.9100000000000003E-2</v>
      </c>
      <c r="M267" s="449">
        <f>+IF(K11&lt;&gt;0,ROUND(M11/K11-1,4),0)</f>
        <v>0.1774</v>
      </c>
      <c r="N267" s="449">
        <f t="shared" si="129"/>
        <v>-0.1147</v>
      </c>
      <c r="O267" s="449">
        <f t="shared" si="129"/>
        <v>0.03</v>
      </c>
      <c r="P267" s="449">
        <f t="shared" si="129"/>
        <v>3.5000000000000003E-2</v>
      </c>
      <c r="Q267" s="449">
        <f t="shared" si="129"/>
        <v>3.5000000000000003E-2</v>
      </c>
      <c r="R267" s="449">
        <f t="shared" si="129"/>
        <v>3.5000000000000003E-2</v>
      </c>
      <c r="S267" s="449">
        <f t="shared" si="129"/>
        <v>3.4000000000000002E-2</v>
      </c>
      <c r="T267" s="449">
        <f t="shared" si="129"/>
        <v>3.3000000000000002E-2</v>
      </c>
      <c r="U267" s="449">
        <f t="shared" si="129"/>
        <v>3.1E-2</v>
      </c>
      <c r="V267" s="449">
        <f t="shared" si="129"/>
        <v>2.9000000000000001E-2</v>
      </c>
      <c r="W267" s="449">
        <f t="shared" si="129"/>
        <v>2.8000000000000001E-2</v>
      </c>
      <c r="X267" s="449">
        <f t="shared" si="129"/>
        <v>2.7E-2</v>
      </c>
      <c r="Y267" s="449">
        <f t="shared" si="129"/>
        <v>2.5999999999999999E-2</v>
      </c>
      <c r="Z267" s="449">
        <f t="shared" si="129"/>
        <v>-1</v>
      </c>
      <c r="AA267" s="449">
        <f t="shared" si="129"/>
        <v>0</v>
      </c>
      <c r="AB267" s="449">
        <f t="shared" si="129"/>
        <v>0</v>
      </c>
      <c r="AC267" s="449">
        <f t="shared" si="129"/>
        <v>0</v>
      </c>
      <c r="AD267" s="449">
        <f t="shared" si="129"/>
        <v>0</v>
      </c>
      <c r="AE267" s="449">
        <f t="shared" si="129"/>
        <v>0</v>
      </c>
      <c r="AF267" s="449">
        <f t="shared" si="129"/>
        <v>0</v>
      </c>
      <c r="AG267" s="449">
        <f t="shared" si="129"/>
        <v>0</v>
      </c>
      <c r="AH267" s="449">
        <f t="shared" si="129"/>
        <v>0</v>
      </c>
      <c r="AI267" s="449">
        <f t="shared" si="129"/>
        <v>0</v>
      </c>
      <c r="AJ267" s="449">
        <f t="shared" si="129"/>
        <v>0</v>
      </c>
      <c r="AK267" s="449">
        <f t="shared" si="129"/>
        <v>0</v>
      </c>
      <c r="AL267" s="449">
        <f t="shared" si="129"/>
        <v>0</v>
      </c>
      <c r="AM267" s="449">
        <f t="shared" si="129"/>
        <v>0</v>
      </c>
      <c r="AN267" s="449">
        <f t="shared" si="129"/>
        <v>0</v>
      </c>
      <c r="AO267" s="449">
        <f t="shared" si="129"/>
        <v>0</v>
      </c>
      <c r="AP267" s="449">
        <f t="shared" si="129"/>
        <v>0</v>
      </c>
      <c r="AQ267" s="449">
        <f t="shared" si="129"/>
        <v>0</v>
      </c>
      <c r="AR267" s="449">
        <f t="shared" si="129"/>
        <v>0</v>
      </c>
      <c r="AS267" s="449">
        <f t="shared" si="129"/>
        <v>0</v>
      </c>
      <c r="AT267" s="449">
        <f t="shared" si="129"/>
        <v>0</v>
      </c>
      <c r="AU267" s="449">
        <f t="shared" si="129"/>
        <v>0</v>
      </c>
      <c r="AV267" s="449">
        <f t="shared" si="129"/>
        <v>0</v>
      </c>
      <c r="AW267" s="449">
        <f t="shared" si="129"/>
        <v>0</v>
      </c>
      <c r="AX267" s="449">
        <f t="shared" si="129"/>
        <v>0</v>
      </c>
      <c r="AY267" s="449">
        <f t="shared" si="129"/>
        <v>0</v>
      </c>
      <c r="AZ267" s="449">
        <f t="shared" si="129"/>
        <v>0</v>
      </c>
      <c r="BA267" s="450">
        <f t="shared" si="129"/>
        <v>0</v>
      </c>
    </row>
    <row r="268" spans="1:53" s="246" customFormat="1" outlineLevel="1">
      <c r="A268" s="244"/>
      <c r="B268" s="244"/>
      <c r="C268" s="65" t="s">
        <v>35</v>
      </c>
      <c r="D268" s="85"/>
      <c r="E268" s="109" t="s">
        <v>84</v>
      </c>
      <c r="F268" s="448" t="s">
        <v>27</v>
      </c>
      <c r="G268" s="449">
        <f t="shared" ref="G268:L268" si="130">+IF(F15&lt;&gt;0,ROUND(G15/F15-1,4),0)</f>
        <v>8.8200000000000001E-2</v>
      </c>
      <c r="H268" s="449">
        <f t="shared" si="130"/>
        <v>0.13469999999999999</v>
      </c>
      <c r="I268" s="449">
        <f t="shared" si="130"/>
        <v>3.1300000000000001E-2</v>
      </c>
      <c r="J268" s="449">
        <f t="shared" si="130"/>
        <v>9.3899999999999997E-2</v>
      </c>
      <c r="K268" s="449">
        <f t="shared" si="130"/>
        <v>0.18110000000000001</v>
      </c>
      <c r="L268" s="449">
        <f t="shared" si="130"/>
        <v>2.9700000000000001E-2</v>
      </c>
      <c r="M268" s="449">
        <f>+IF(K15&lt;&gt;0,ROUND(M15/K15-1,4),0)</f>
        <v>9.8699999999999996E-2</v>
      </c>
      <c r="N268" s="449">
        <f t="shared" ref="N268:BA268" si="131">+IF(M15&lt;&gt;0,ROUND(N15/M15-1,4),0)</f>
        <v>-2.3999999999999998E-3</v>
      </c>
      <c r="O268" s="449">
        <f t="shared" si="131"/>
        <v>-3.6200000000000003E-2</v>
      </c>
      <c r="P268" s="449">
        <f t="shared" si="131"/>
        <v>3.5000000000000003E-2</v>
      </c>
      <c r="Q268" s="449">
        <f t="shared" si="131"/>
        <v>3.5000000000000003E-2</v>
      </c>
      <c r="R268" s="449">
        <f t="shared" si="131"/>
        <v>3.5000000000000003E-2</v>
      </c>
      <c r="S268" s="449">
        <f t="shared" si="131"/>
        <v>3.4000000000000002E-2</v>
      </c>
      <c r="T268" s="449">
        <f t="shared" si="131"/>
        <v>3.3000000000000002E-2</v>
      </c>
      <c r="U268" s="449">
        <f t="shared" si="131"/>
        <v>3.1E-2</v>
      </c>
      <c r="V268" s="449">
        <f t="shared" si="131"/>
        <v>2.9000000000000001E-2</v>
      </c>
      <c r="W268" s="449">
        <f t="shared" si="131"/>
        <v>2.8000000000000001E-2</v>
      </c>
      <c r="X268" s="449">
        <f t="shared" si="131"/>
        <v>2.7E-2</v>
      </c>
      <c r="Y268" s="449">
        <f t="shared" si="131"/>
        <v>2.5999999999999999E-2</v>
      </c>
      <c r="Z268" s="449">
        <f t="shared" si="131"/>
        <v>-1</v>
      </c>
      <c r="AA268" s="449">
        <f t="shared" si="131"/>
        <v>0</v>
      </c>
      <c r="AB268" s="449">
        <f t="shared" si="131"/>
        <v>0</v>
      </c>
      <c r="AC268" s="449">
        <f t="shared" si="131"/>
        <v>0</v>
      </c>
      <c r="AD268" s="449">
        <f t="shared" si="131"/>
        <v>0</v>
      </c>
      <c r="AE268" s="449">
        <f t="shared" si="131"/>
        <v>0</v>
      </c>
      <c r="AF268" s="449">
        <f t="shared" si="131"/>
        <v>0</v>
      </c>
      <c r="AG268" s="449">
        <f t="shared" si="131"/>
        <v>0</v>
      </c>
      <c r="AH268" s="449">
        <f t="shared" si="131"/>
        <v>0</v>
      </c>
      <c r="AI268" s="449">
        <f t="shared" si="131"/>
        <v>0</v>
      </c>
      <c r="AJ268" s="449">
        <f t="shared" si="131"/>
        <v>0</v>
      </c>
      <c r="AK268" s="449">
        <f t="shared" si="131"/>
        <v>0</v>
      </c>
      <c r="AL268" s="449">
        <f t="shared" si="131"/>
        <v>0</v>
      </c>
      <c r="AM268" s="449">
        <f t="shared" si="131"/>
        <v>0</v>
      </c>
      <c r="AN268" s="449">
        <f t="shared" si="131"/>
        <v>0</v>
      </c>
      <c r="AO268" s="449">
        <f t="shared" si="131"/>
        <v>0</v>
      </c>
      <c r="AP268" s="449">
        <f t="shared" si="131"/>
        <v>0</v>
      </c>
      <c r="AQ268" s="449">
        <f t="shared" si="131"/>
        <v>0</v>
      </c>
      <c r="AR268" s="449">
        <f t="shared" si="131"/>
        <v>0</v>
      </c>
      <c r="AS268" s="449">
        <f t="shared" si="131"/>
        <v>0</v>
      </c>
      <c r="AT268" s="449">
        <f t="shared" si="131"/>
        <v>0</v>
      </c>
      <c r="AU268" s="449">
        <f t="shared" si="131"/>
        <v>0</v>
      </c>
      <c r="AV268" s="449">
        <f t="shared" si="131"/>
        <v>0</v>
      </c>
      <c r="AW268" s="449">
        <f t="shared" si="131"/>
        <v>0</v>
      </c>
      <c r="AX268" s="449">
        <f t="shared" si="131"/>
        <v>0</v>
      </c>
      <c r="AY268" s="449">
        <f t="shared" si="131"/>
        <v>0</v>
      </c>
      <c r="AZ268" s="449">
        <f t="shared" si="131"/>
        <v>0</v>
      </c>
      <c r="BA268" s="450">
        <f t="shared" si="131"/>
        <v>0</v>
      </c>
    </row>
    <row r="269" spans="1:53" s="246" customFormat="1" outlineLevel="1">
      <c r="A269" s="244"/>
      <c r="B269" s="244"/>
      <c r="C269" s="65" t="s">
        <v>52</v>
      </c>
      <c r="D269" s="85" t="s">
        <v>358</v>
      </c>
      <c r="E269" s="447" t="s">
        <v>25</v>
      </c>
      <c r="F269" s="448" t="s">
        <v>27</v>
      </c>
      <c r="G269" s="449">
        <f t="shared" ref="G269:L270" si="132">+IF(F18&lt;&gt;0,ROUND(G18/F18-1,4),0)</f>
        <v>0.65080000000000005</v>
      </c>
      <c r="H269" s="449">
        <f t="shared" si="132"/>
        <v>-0.30249999999999999</v>
      </c>
      <c r="I269" s="449">
        <f t="shared" si="132"/>
        <v>1.1843999999999999</v>
      </c>
      <c r="J269" s="449">
        <f t="shared" si="132"/>
        <v>0.45569999999999999</v>
      </c>
      <c r="K269" s="449">
        <f t="shared" si="132"/>
        <v>8.6699999999999999E-2</v>
      </c>
      <c r="L269" s="449">
        <f t="shared" si="132"/>
        <v>-0.61650000000000005</v>
      </c>
      <c r="M269" s="449">
        <f>+IF(K18&lt;&gt;0,ROUND(M18/K18-1,4),0)</f>
        <v>-0.2253</v>
      </c>
      <c r="N269" s="449">
        <f t="shared" ref="N269:BA270" si="133">+IF(M18&lt;&gt;0,ROUND(N18/M18-1,4),0)</f>
        <v>-4.3900000000000002E-2</v>
      </c>
      <c r="O269" s="449">
        <f t="shared" si="133"/>
        <v>1.0575000000000001</v>
      </c>
      <c r="P269" s="449">
        <f t="shared" si="133"/>
        <v>-0.97750000000000004</v>
      </c>
      <c r="Q269" s="449">
        <f t="shared" si="133"/>
        <v>0</v>
      </c>
      <c r="R269" s="449">
        <f t="shared" si="133"/>
        <v>0</v>
      </c>
      <c r="S269" s="449">
        <f t="shared" si="133"/>
        <v>0</v>
      </c>
      <c r="T269" s="449">
        <f t="shared" si="133"/>
        <v>0</v>
      </c>
      <c r="U269" s="449">
        <f t="shared" si="133"/>
        <v>0</v>
      </c>
      <c r="V269" s="449">
        <f t="shared" si="133"/>
        <v>0</v>
      </c>
      <c r="W269" s="449">
        <f t="shared" si="133"/>
        <v>0</v>
      </c>
      <c r="X269" s="449">
        <f t="shared" si="133"/>
        <v>-1</v>
      </c>
      <c r="Y269" s="449">
        <f t="shared" si="133"/>
        <v>0</v>
      </c>
      <c r="Z269" s="449">
        <f t="shared" si="133"/>
        <v>0</v>
      </c>
      <c r="AA269" s="449">
        <f t="shared" si="133"/>
        <v>0</v>
      </c>
      <c r="AB269" s="449">
        <f t="shared" si="133"/>
        <v>0</v>
      </c>
      <c r="AC269" s="449">
        <f t="shared" si="133"/>
        <v>0</v>
      </c>
      <c r="AD269" s="449">
        <f t="shared" si="133"/>
        <v>0</v>
      </c>
      <c r="AE269" s="449">
        <f t="shared" si="133"/>
        <v>0</v>
      </c>
      <c r="AF269" s="449">
        <f t="shared" si="133"/>
        <v>0</v>
      </c>
      <c r="AG269" s="449">
        <f t="shared" si="133"/>
        <v>0</v>
      </c>
      <c r="AH269" s="449">
        <f t="shared" si="133"/>
        <v>0</v>
      </c>
      <c r="AI269" s="449">
        <f t="shared" si="133"/>
        <v>0</v>
      </c>
      <c r="AJ269" s="449">
        <f t="shared" si="133"/>
        <v>0</v>
      </c>
      <c r="AK269" s="449">
        <f t="shared" si="133"/>
        <v>0</v>
      </c>
      <c r="AL269" s="449">
        <f t="shared" si="133"/>
        <v>0</v>
      </c>
      <c r="AM269" s="449">
        <f t="shared" si="133"/>
        <v>0</v>
      </c>
      <c r="AN269" s="449">
        <f t="shared" si="133"/>
        <v>0</v>
      </c>
      <c r="AO269" s="449">
        <f t="shared" si="133"/>
        <v>0</v>
      </c>
      <c r="AP269" s="449">
        <f t="shared" si="133"/>
        <v>0</v>
      </c>
      <c r="AQ269" s="449">
        <f t="shared" si="133"/>
        <v>0</v>
      </c>
      <c r="AR269" s="449">
        <f t="shared" si="133"/>
        <v>0</v>
      </c>
      <c r="AS269" s="449">
        <f t="shared" si="133"/>
        <v>0</v>
      </c>
      <c r="AT269" s="449">
        <f t="shared" si="133"/>
        <v>0</v>
      </c>
      <c r="AU269" s="449">
        <f t="shared" si="133"/>
        <v>0</v>
      </c>
      <c r="AV269" s="449">
        <f t="shared" si="133"/>
        <v>0</v>
      </c>
      <c r="AW269" s="449">
        <f t="shared" si="133"/>
        <v>0</v>
      </c>
      <c r="AX269" s="449">
        <f t="shared" si="133"/>
        <v>0</v>
      </c>
      <c r="AY269" s="449">
        <f t="shared" si="133"/>
        <v>0</v>
      </c>
      <c r="AZ269" s="449">
        <f t="shared" si="133"/>
        <v>0</v>
      </c>
      <c r="BA269" s="450">
        <f t="shared" si="133"/>
        <v>0</v>
      </c>
    </row>
    <row r="270" spans="1:53" s="246" customFormat="1" outlineLevel="1">
      <c r="A270" s="244"/>
      <c r="B270" s="244"/>
      <c r="C270" s="65" t="s">
        <v>37</v>
      </c>
      <c r="D270" s="85" t="s">
        <v>28</v>
      </c>
      <c r="E270" s="110" t="s">
        <v>26</v>
      </c>
      <c r="F270" s="448" t="s">
        <v>27</v>
      </c>
      <c r="G270" s="449">
        <f t="shared" si="132"/>
        <v>0.21390000000000001</v>
      </c>
      <c r="H270" s="449">
        <f t="shared" si="132"/>
        <v>-0.30359999999999998</v>
      </c>
      <c r="I270" s="449">
        <f t="shared" si="132"/>
        <v>22.535299999999999</v>
      </c>
      <c r="J270" s="449">
        <f t="shared" si="132"/>
        <v>-0.97160000000000002</v>
      </c>
      <c r="K270" s="449">
        <f t="shared" si="132"/>
        <v>0.10829999999999999</v>
      </c>
      <c r="L270" s="449">
        <f t="shared" si="132"/>
        <v>-0.28749999999999998</v>
      </c>
      <c r="M270" s="449">
        <f>+IF(K19&lt;&gt;0,ROUND(M19/K19-1,4),0)</f>
        <v>84.433300000000003</v>
      </c>
      <c r="N270" s="449">
        <f t="shared" si="133"/>
        <v>-0.99170000000000003</v>
      </c>
      <c r="O270" s="449">
        <f t="shared" si="133"/>
        <v>-1</v>
      </c>
      <c r="P270" s="449">
        <f t="shared" si="133"/>
        <v>0</v>
      </c>
      <c r="Q270" s="449">
        <f t="shared" si="133"/>
        <v>0</v>
      </c>
      <c r="R270" s="449">
        <f t="shared" si="133"/>
        <v>0</v>
      </c>
      <c r="S270" s="449">
        <f t="shared" si="133"/>
        <v>0</v>
      </c>
      <c r="T270" s="449">
        <f t="shared" si="133"/>
        <v>0</v>
      </c>
      <c r="U270" s="449">
        <f t="shared" si="133"/>
        <v>0</v>
      </c>
      <c r="V270" s="449">
        <f t="shared" si="133"/>
        <v>0</v>
      </c>
      <c r="W270" s="449">
        <f t="shared" si="133"/>
        <v>0</v>
      </c>
      <c r="X270" s="449">
        <f t="shared" si="133"/>
        <v>0</v>
      </c>
      <c r="Y270" s="449">
        <f t="shared" si="133"/>
        <v>0</v>
      </c>
      <c r="Z270" s="449">
        <f t="shared" si="133"/>
        <v>0</v>
      </c>
      <c r="AA270" s="449">
        <f t="shared" si="133"/>
        <v>0</v>
      </c>
      <c r="AB270" s="449">
        <f t="shared" si="133"/>
        <v>0</v>
      </c>
      <c r="AC270" s="449">
        <f t="shared" si="133"/>
        <v>0</v>
      </c>
      <c r="AD270" s="449">
        <f t="shared" si="133"/>
        <v>0</v>
      </c>
      <c r="AE270" s="449">
        <f t="shared" si="133"/>
        <v>0</v>
      </c>
      <c r="AF270" s="449">
        <f t="shared" si="133"/>
        <v>0</v>
      </c>
      <c r="AG270" s="449">
        <f t="shared" si="133"/>
        <v>0</v>
      </c>
      <c r="AH270" s="449">
        <f t="shared" si="133"/>
        <v>0</v>
      </c>
      <c r="AI270" s="449">
        <f t="shared" si="133"/>
        <v>0</v>
      </c>
      <c r="AJ270" s="449">
        <f t="shared" si="133"/>
        <v>0</v>
      </c>
      <c r="AK270" s="449">
        <f t="shared" si="133"/>
        <v>0</v>
      </c>
      <c r="AL270" s="449">
        <f t="shared" si="133"/>
        <v>0</v>
      </c>
      <c r="AM270" s="449">
        <f t="shared" si="133"/>
        <v>0</v>
      </c>
      <c r="AN270" s="449">
        <f t="shared" si="133"/>
        <v>0</v>
      </c>
      <c r="AO270" s="449">
        <f t="shared" si="133"/>
        <v>0</v>
      </c>
      <c r="AP270" s="449">
        <f t="shared" si="133"/>
        <v>0</v>
      </c>
      <c r="AQ270" s="449">
        <f t="shared" si="133"/>
        <v>0</v>
      </c>
      <c r="AR270" s="449">
        <f t="shared" si="133"/>
        <v>0</v>
      </c>
      <c r="AS270" s="449">
        <f t="shared" si="133"/>
        <v>0</v>
      </c>
      <c r="AT270" s="449">
        <f t="shared" si="133"/>
        <v>0</v>
      </c>
      <c r="AU270" s="449">
        <f t="shared" si="133"/>
        <v>0</v>
      </c>
      <c r="AV270" s="449">
        <f t="shared" si="133"/>
        <v>0</v>
      </c>
      <c r="AW270" s="449">
        <f t="shared" si="133"/>
        <v>0</v>
      </c>
      <c r="AX270" s="449">
        <f t="shared" si="133"/>
        <v>0</v>
      </c>
      <c r="AY270" s="449">
        <f t="shared" si="133"/>
        <v>0</v>
      </c>
      <c r="AZ270" s="449">
        <f t="shared" si="133"/>
        <v>0</v>
      </c>
      <c r="BA270" s="450">
        <f t="shared" si="133"/>
        <v>0</v>
      </c>
    </row>
    <row r="271" spans="1:53" s="246" customFormat="1" outlineLevel="1">
      <c r="A271" s="244"/>
      <c r="B271" s="244"/>
      <c r="C271" s="22">
        <v>2</v>
      </c>
      <c r="D271" s="85"/>
      <c r="E271" s="111" t="s">
        <v>19</v>
      </c>
      <c r="F271" s="448" t="s">
        <v>27</v>
      </c>
      <c r="G271" s="449">
        <f t="shared" ref="G271:J274" si="134">+IF(F21&lt;&gt;0,ROUND(G21/F21-1,4),0)</f>
        <v>5.7099999999999998E-2</v>
      </c>
      <c r="H271" s="449">
        <f t="shared" si="134"/>
        <v>1.29E-2</v>
      </c>
      <c r="I271" s="449">
        <f t="shared" si="134"/>
        <v>0.18990000000000001</v>
      </c>
      <c r="J271" s="449">
        <f t="shared" si="134"/>
        <v>9.4500000000000001E-2</v>
      </c>
      <c r="K271" s="449">
        <f t="shared" ref="K271:L274" si="135">+IF(J21&lt;&gt;0,ROUND(K21/J21-1,4),0)</f>
        <v>9.5799999999999996E-2</v>
      </c>
      <c r="L271" s="449">
        <f t="shared" si="135"/>
        <v>0.1222</v>
      </c>
      <c r="M271" s="449">
        <f>+IF(K21&lt;&gt;0,ROUND(M21/K21-1,4),0)</f>
        <v>7.51E-2</v>
      </c>
      <c r="N271" s="449">
        <f t="shared" ref="N271:BA274" si="136">+IF(M21&lt;&gt;0,ROUND(N21/M21-1,4),0)</f>
        <v>0.19489999999999999</v>
      </c>
      <c r="O271" s="449">
        <f t="shared" si="136"/>
        <v>-3.6200000000000003E-2</v>
      </c>
      <c r="P271" s="449">
        <f t="shared" si="136"/>
        <v>-0.28720000000000001</v>
      </c>
      <c r="Q271" s="449">
        <f t="shared" si="136"/>
        <v>3.4299999999999997E-2</v>
      </c>
      <c r="R271" s="449">
        <f t="shared" si="136"/>
        <v>3.5999999999999997E-2</v>
      </c>
      <c r="S271" s="449">
        <f t="shared" si="136"/>
        <v>3.49E-2</v>
      </c>
      <c r="T271" s="449">
        <f t="shared" si="136"/>
        <v>4.2599999999999999E-2</v>
      </c>
      <c r="U271" s="449">
        <f t="shared" si="136"/>
        <v>3.15E-2</v>
      </c>
      <c r="V271" s="449">
        <f t="shared" si="136"/>
        <v>2.9499999999999998E-2</v>
      </c>
      <c r="W271" s="449">
        <f t="shared" si="136"/>
        <v>2.8400000000000002E-2</v>
      </c>
      <c r="X271" s="449">
        <f t="shared" si="136"/>
        <v>1.5900000000000001E-2</v>
      </c>
      <c r="Y271" s="449">
        <f t="shared" si="136"/>
        <v>2.6700000000000002E-2</v>
      </c>
      <c r="Z271" s="449">
        <f t="shared" si="136"/>
        <v>-1</v>
      </c>
      <c r="AA271" s="449">
        <f t="shared" si="136"/>
        <v>0</v>
      </c>
      <c r="AB271" s="449">
        <f t="shared" si="136"/>
        <v>0</v>
      </c>
      <c r="AC271" s="449">
        <f t="shared" si="136"/>
        <v>0</v>
      </c>
      <c r="AD271" s="449">
        <f t="shared" si="136"/>
        <v>0</v>
      </c>
      <c r="AE271" s="449">
        <f t="shared" si="136"/>
        <v>0</v>
      </c>
      <c r="AF271" s="449">
        <f t="shared" si="136"/>
        <v>0</v>
      </c>
      <c r="AG271" s="449">
        <f t="shared" si="136"/>
        <v>0</v>
      </c>
      <c r="AH271" s="449">
        <f t="shared" si="136"/>
        <v>0</v>
      </c>
      <c r="AI271" s="449">
        <f t="shared" si="136"/>
        <v>0</v>
      </c>
      <c r="AJ271" s="449">
        <f t="shared" si="136"/>
        <v>0</v>
      </c>
      <c r="AK271" s="449">
        <f t="shared" si="136"/>
        <v>0</v>
      </c>
      <c r="AL271" s="449">
        <f t="shared" si="136"/>
        <v>0</v>
      </c>
      <c r="AM271" s="449">
        <f t="shared" si="136"/>
        <v>0</v>
      </c>
      <c r="AN271" s="449">
        <f t="shared" si="136"/>
        <v>0</v>
      </c>
      <c r="AO271" s="449">
        <f t="shared" si="136"/>
        <v>0</v>
      </c>
      <c r="AP271" s="449">
        <f t="shared" si="136"/>
        <v>0</v>
      </c>
      <c r="AQ271" s="449">
        <f t="shared" si="136"/>
        <v>0</v>
      </c>
      <c r="AR271" s="449">
        <f t="shared" si="136"/>
        <v>0</v>
      </c>
      <c r="AS271" s="449">
        <f t="shared" si="136"/>
        <v>0</v>
      </c>
      <c r="AT271" s="449">
        <f t="shared" si="136"/>
        <v>0</v>
      </c>
      <c r="AU271" s="449">
        <f t="shared" si="136"/>
        <v>0</v>
      </c>
      <c r="AV271" s="449">
        <f t="shared" si="136"/>
        <v>0</v>
      </c>
      <c r="AW271" s="449">
        <f t="shared" si="136"/>
        <v>0</v>
      </c>
      <c r="AX271" s="449">
        <f t="shared" si="136"/>
        <v>0</v>
      </c>
      <c r="AY271" s="449">
        <f t="shared" si="136"/>
        <v>0</v>
      </c>
      <c r="AZ271" s="449">
        <f t="shared" si="136"/>
        <v>0</v>
      </c>
      <c r="BA271" s="450">
        <f t="shared" si="136"/>
        <v>0</v>
      </c>
    </row>
    <row r="272" spans="1:53" s="246" customFormat="1" outlineLevel="1">
      <c r="A272" s="244"/>
      <c r="B272" s="244"/>
      <c r="C272" s="65" t="s">
        <v>53</v>
      </c>
      <c r="D272" s="86" t="s">
        <v>359</v>
      </c>
      <c r="E272" s="447" t="s">
        <v>86</v>
      </c>
      <c r="F272" s="448" t="s">
        <v>27</v>
      </c>
      <c r="G272" s="449">
        <f t="shared" si="134"/>
        <v>1.6899999999999998E-2</v>
      </c>
      <c r="H272" s="449">
        <f t="shared" si="134"/>
        <v>7.1900000000000006E-2</v>
      </c>
      <c r="I272" s="449">
        <f t="shared" si="134"/>
        <v>5.0700000000000002E-2</v>
      </c>
      <c r="J272" s="449">
        <f t="shared" si="134"/>
        <v>8.8999999999999996E-2</v>
      </c>
      <c r="K272" s="449">
        <f t="shared" si="135"/>
        <v>9.7500000000000003E-2</v>
      </c>
      <c r="L272" s="449">
        <f t="shared" si="135"/>
        <v>0.1002</v>
      </c>
      <c r="M272" s="449">
        <f>+IF(K22&lt;&gt;0,ROUND(M22/K22-1,4),0)</f>
        <v>0.1</v>
      </c>
      <c r="N272" s="449">
        <f t="shared" si="136"/>
        <v>2.58E-2</v>
      </c>
      <c r="O272" s="449">
        <f t="shared" si="136"/>
        <v>1.3299999999999999E-2</v>
      </c>
      <c r="P272" s="449">
        <f t="shared" si="136"/>
        <v>2.5399999999999999E-2</v>
      </c>
      <c r="Q272" s="449">
        <f t="shared" si="136"/>
        <v>2.35E-2</v>
      </c>
      <c r="R272" s="449">
        <f t="shared" si="136"/>
        <v>2.3599999999999999E-2</v>
      </c>
      <c r="S272" s="449">
        <f t="shared" si="136"/>
        <v>2.3599999999999999E-2</v>
      </c>
      <c r="T272" s="449">
        <f t="shared" si="136"/>
        <v>2.3800000000000002E-2</v>
      </c>
      <c r="U272" s="449">
        <f t="shared" si="136"/>
        <v>2.41E-2</v>
      </c>
      <c r="V272" s="449">
        <f t="shared" si="136"/>
        <v>2.4199999999999999E-2</v>
      </c>
      <c r="W272" s="449">
        <f t="shared" si="136"/>
        <v>2.4299999999999999E-2</v>
      </c>
      <c r="X272" s="449">
        <f t="shared" si="136"/>
        <v>2.41E-2</v>
      </c>
      <c r="Y272" s="449">
        <f t="shared" si="136"/>
        <v>2.4E-2</v>
      </c>
      <c r="Z272" s="449">
        <f t="shared" si="136"/>
        <v>-1</v>
      </c>
      <c r="AA272" s="449">
        <f t="shared" si="136"/>
        <v>0</v>
      </c>
      <c r="AB272" s="449">
        <f t="shared" si="136"/>
        <v>0</v>
      </c>
      <c r="AC272" s="449">
        <f t="shared" si="136"/>
        <v>0</v>
      </c>
      <c r="AD272" s="449">
        <f t="shared" si="136"/>
        <v>0</v>
      </c>
      <c r="AE272" s="449">
        <f t="shared" si="136"/>
        <v>0</v>
      </c>
      <c r="AF272" s="449">
        <f t="shared" si="136"/>
        <v>0</v>
      </c>
      <c r="AG272" s="449">
        <f t="shared" si="136"/>
        <v>0</v>
      </c>
      <c r="AH272" s="449">
        <f t="shared" si="136"/>
        <v>0</v>
      </c>
      <c r="AI272" s="449">
        <f t="shared" si="136"/>
        <v>0</v>
      </c>
      <c r="AJ272" s="449">
        <f t="shared" si="136"/>
        <v>0</v>
      </c>
      <c r="AK272" s="449">
        <f t="shared" si="136"/>
        <v>0</v>
      </c>
      <c r="AL272" s="449">
        <f t="shared" si="136"/>
        <v>0</v>
      </c>
      <c r="AM272" s="449">
        <f t="shared" si="136"/>
        <v>0</v>
      </c>
      <c r="AN272" s="449">
        <f t="shared" si="136"/>
        <v>0</v>
      </c>
      <c r="AO272" s="449">
        <f t="shared" si="136"/>
        <v>0</v>
      </c>
      <c r="AP272" s="449">
        <f t="shared" si="136"/>
        <v>0</v>
      </c>
      <c r="AQ272" s="449">
        <f t="shared" si="136"/>
        <v>0</v>
      </c>
      <c r="AR272" s="449">
        <f t="shared" si="136"/>
        <v>0</v>
      </c>
      <c r="AS272" s="449">
        <f t="shared" si="136"/>
        <v>0</v>
      </c>
      <c r="AT272" s="449">
        <f t="shared" si="136"/>
        <v>0</v>
      </c>
      <c r="AU272" s="449">
        <f t="shared" si="136"/>
        <v>0</v>
      </c>
      <c r="AV272" s="449">
        <f t="shared" si="136"/>
        <v>0</v>
      </c>
      <c r="AW272" s="449">
        <f t="shared" si="136"/>
        <v>0</v>
      </c>
      <c r="AX272" s="449">
        <f t="shared" si="136"/>
        <v>0</v>
      </c>
      <c r="AY272" s="449">
        <f t="shared" si="136"/>
        <v>0</v>
      </c>
      <c r="AZ272" s="449">
        <f t="shared" si="136"/>
        <v>0</v>
      </c>
      <c r="BA272" s="450">
        <f t="shared" si="136"/>
        <v>0</v>
      </c>
    </row>
    <row r="273" spans="1:53" s="246" customFormat="1" outlineLevel="1">
      <c r="A273" s="244"/>
      <c r="B273" s="244"/>
      <c r="C273" s="65" t="s">
        <v>39</v>
      </c>
      <c r="D273" s="85" t="s">
        <v>363</v>
      </c>
      <c r="E273" s="109" t="s">
        <v>315</v>
      </c>
      <c r="F273" s="448" t="s">
        <v>27</v>
      </c>
      <c r="G273" s="449">
        <f t="shared" si="134"/>
        <v>6.4999999999999997E-3</v>
      </c>
      <c r="H273" s="449">
        <f t="shared" si="134"/>
        <v>5.2400000000000002E-2</v>
      </c>
      <c r="I273" s="449">
        <f t="shared" si="134"/>
        <v>5.2999999999999999E-2</v>
      </c>
      <c r="J273" s="449">
        <f t="shared" si="134"/>
        <v>9.3700000000000006E-2</v>
      </c>
      <c r="K273" s="449">
        <f t="shared" si="135"/>
        <v>9.9400000000000002E-2</v>
      </c>
      <c r="L273" s="449">
        <f t="shared" si="135"/>
        <v>8.8099999999999998E-2</v>
      </c>
      <c r="M273" s="449">
        <f>+IF(K23&lt;&gt;0,ROUND(M23/K23-1,4),0)</f>
        <v>0.1133</v>
      </c>
      <c r="N273" s="449">
        <f t="shared" si="136"/>
        <v>1.2800000000000001E-2</v>
      </c>
      <c r="O273" s="449">
        <f t="shared" si="136"/>
        <v>2.8299999999999999E-2</v>
      </c>
      <c r="P273" s="449">
        <f t="shared" si="136"/>
        <v>2.7E-2</v>
      </c>
      <c r="Q273" s="449">
        <f t="shared" si="136"/>
        <v>2.5000000000000001E-2</v>
      </c>
      <c r="R273" s="449">
        <f t="shared" si="136"/>
        <v>2.5000000000000001E-2</v>
      </c>
      <c r="S273" s="449">
        <f t="shared" si="136"/>
        <v>2.5000000000000001E-2</v>
      </c>
      <c r="T273" s="449">
        <f t="shared" si="136"/>
        <v>2.5000000000000001E-2</v>
      </c>
      <c r="U273" s="449">
        <f t="shared" si="136"/>
        <v>2.5000000000000001E-2</v>
      </c>
      <c r="V273" s="449">
        <f t="shared" si="136"/>
        <v>2.5000000000000001E-2</v>
      </c>
      <c r="W273" s="449">
        <f t="shared" si="136"/>
        <v>2.5000000000000001E-2</v>
      </c>
      <c r="X273" s="449">
        <f t="shared" si="136"/>
        <v>2.5000000000000001E-2</v>
      </c>
      <c r="Y273" s="449">
        <f t="shared" si="136"/>
        <v>2.5000000000000001E-2</v>
      </c>
      <c r="Z273" s="449">
        <f t="shared" si="136"/>
        <v>-1</v>
      </c>
      <c r="AA273" s="449">
        <f t="shared" si="136"/>
        <v>0</v>
      </c>
      <c r="AB273" s="449">
        <f t="shared" si="136"/>
        <v>0</v>
      </c>
      <c r="AC273" s="449">
        <f t="shared" si="136"/>
        <v>0</v>
      </c>
      <c r="AD273" s="449">
        <f t="shared" si="136"/>
        <v>0</v>
      </c>
      <c r="AE273" s="449">
        <f t="shared" si="136"/>
        <v>0</v>
      </c>
      <c r="AF273" s="449">
        <f t="shared" si="136"/>
        <v>0</v>
      </c>
      <c r="AG273" s="449">
        <f t="shared" si="136"/>
        <v>0</v>
      </c>
      <c r="AH273" s="449">
        <f t="shared" si="136"/>
        <v>0</v>
      </c>
      <c r="AI273" s="449">
        <f t="shared" si="136"/>
        <v>0</v>
      </c>
      <c r="AJ273" s="449">
        <f t="shared" si="136"/>
        <v>0</v>
      </c>
      <c r="AK273" s="449">
        <f t="shared" si="136"/>
        <v>0</v>
      </c>
      <c r="AL273" s="449">
        <f t="shared" si="136"/>
        <v>0</v>
      </c>
      <c r="AM273" s="449">
        <f t="shared" si="136"/>
        <v>0</v>
      </c>
      <c r="AN273" s="449">
        <f t="shared" si="136"/>
        <v>0</v>
      </c>
      <c r="AO273" s="449">
        <f t="shared" si="136"/>
        <v>0</v>
      </c>
      <c r="AP273" s="449">
        <f t="shared" si="136"/>
        <v>0</v>
      </c>
      <c r="AQ273" s="449">
        <f t="shared" si="136"/>
        <v>0</v>
      </c>
      <c r="AR273" s="449">
        <f t="shared" si="136"/>
        <v>0</v>
      </c>
      <c r="AS273" s="449">
        <f t="shared" si="136"/>
        <v>0</v>
      </c>
      <c r="AT273" s="449">
        <f t="shared" si="136"/>
        <v>0</v>
      </c>
      <c r="AU273" s="449">
        <f t="shared" si="136"/>
        <v>0</v>
      </c>
      <c r="AV273" s="449">
        <f t="shared" si="136"/>
        <v>0</v>
      </c>
      <c r="AW273" s="449">
        <f t="shared" si="136"/>
        <v>0</v>
      </c>
      <c r="AX273" s="449">
        <f t="shared" si="136"/>
        <v>0</v>
      </c>
      <c r="AY273" s="449">
        <f t="shared" si="136"/>
        <v>0</v>
      </c>
      <c r="AZ273" s="449">
        <f t="shared" si="136"/>
        <v>0</v>
      </c>
      <c r="BA273" s="450">
        <f t="shared" si="136"/>
        <v>0</v>
      </c>
    </row>
    <row r="274" spans="1:53" s="246" customFormat="1" outlineLevel="1">
      <c r="A274" s="244"/>
      <c r="B274" s="244"/>
      <c r="C274" s="65" t="s">
        <v>40</v>
      </c>
      <c r="D274" s="85"/>
      <c r="E274" s="109" t="s">
        <v>87</v>
      </c>
      <c r="F274" s="448" t="s">
        <v>27</v>
      </c>
      <c r="G274" s="449">
        <f t="shared" si="134"/>
        <v>0</v>
      </c>
      <c r="H274" s="449">
        <f t="shared" si="134"/>
        <v>0</v>
      </c>
      <c r="I274" s="449">
        <f t="shared" si="134"/>
        <v>0</v>
      </c>
      <c r="J274" s="449">
        <f t="shared" si="134"/>
        <v>0</v>
      </c>
      <c r="K274" s="449">
        <f t="shared" si="135"/>
        <v>0</v>
      </c>
      <c r="L274" s="449">
        <f t="shared" si="135"/>
        <v>0</v>
      </c>
      <c r="M274" s="449">
        <f>+IF(K24&lt;&gt;0,ROUND(M24/K24-1,4),0)</f>
        <v>0</v>
      </c>
      <c r="N274" s="449">
        <f t="shared" si="136"/>
        <v>0</v>
      </c>
      <c r="O274" s="449">
        <f t="shared" si="136"/>
        <v>0</v>
      </c>
      <c r="P274" s="449">
        <f t="shared" si="136"/>
        <v>0</v>
      </c>
      <c r="Q274" s="449">
        <f t="shared" si="136"/>
        <v>0</v>
      </c>
      <c r="R274" s="449">
        <f t="shared" si="136"/>
        <v>0</v>
      </c>
      <c r="S274" s="449">
        <f t="shared" si="136"/>
        <v>0</v>
      </c>
      <c r="T274" s="449">
        <f t="shared" si="136"/>
        <v>0</v>
      </c>
      <c r="U274" s="449">
        <f t="shared" si="136"/>
        <v>0</v>
      </c>
      <c r="V274" s="449">
        <f t="shared" si="136"/>
        <v>0</v>
      </c>
      <c r="W274" s="449">
        <f t="shared" si="136"/>
        <v>0</v>
      </c>
      <c r="X274" s="449">
        <f t="shared" si="136"/>
        <v>0</v>
      </c>
      <c r="Y274" s="449">
        <f t="shared" si="136"/>
        <v>0</v>
      </c>
      <c r="Z274" s="449">
        <f t="shared" si="136"/>
        <v>0</v>
      </c>
      <c r="AA274" s="449">
        <f t="shared" si="136"/>
        <v>0</v>
      </c>
      <c r="AB274" s="449">
        <f t="shared" si="136"/>
        <v>0</v>
      </c>
      <c r="AC274" s="449">
        <f t="shared" si="136"/>
        <v>0</v>
      </c>
      <c r="AD274" s="449">
        <f t="shared" si="136"/>
        <v>0</v>
      </c>
      <c r="AE274" s="449">
        <f t="shared" si="136"/>
        <v>0</v>
      </c>
      <c r="AF274" s="449">
        <f t="shared" si="136"/>
        <v>0</v>
      </c>
      <c r="AG274" s="449">
        <f t="shared" si="136"/>
        <v>0</v>
      </c>
      <c r="AH274" s="449">
        <f t="shared" si="136"/>
        <v>0</v>
      </c>
      <c r="AI274" s="449">
        <f t="shared" si="136"/>
        <v>0</v>
      </c>
      <c r="AJ274" s="449">
        <f t="shared" si="136"/>
        <v>0</v>
      </c>
      <c r="AK274" s="449">
        <f t="shared" si="136"/>
        <v>0</v>
      </c>
      <c r="AL274" s="449">
        <f t="shared" si="136"/>
        <v>0</v>
      </c>
      <c r="AM274" s="449">
        <f t="shared" si="136"/>
        <v>0</v>
      </c>
      <c r="AN274" s="449">
        <f t="shared" si="136"/>
        <v>0</v>
      </c>
      <c r="AO274" s="449">
        <f t="shared" si="136"/>
        <v>0</v>
      </c>
      <c r="AP274" s="449">
        <f t="shared" si="136"/>
        <v>0</v>
      </c>
      <c r="AQ274" s="449">
        <f t="shared" si="136"/>
        <v>0</v>
      </c>
      <c r="AR274" s="449">
        <f t="shared" si="136"/>
        <v>0</v>
      </c>
      <c r="AS274" s="449">
        <f t="shared" si="136"/>
        <v>0</v>
      </c>
      <c r="AT274" s="449">
        <f t="shared" si="136"/>
        <v>0</v>
      </c>
      <c r="AU274" s="449">
        <f t="shared" si="136"/>
        <v>0</v>
      </c>
      <c r="AV274" s="449">
        <f t="shared" si="136"/>
        <v>0</v>
      </c>
      <c r="AW274" s="449">
        <f t="shared" si="136"/>
        <v>0</v>
      </c>
      <c r="AX274" s="449">
        <f t="shared" si="136"/>
        <v>0</v>
      </c>
      <c r="AY274" s="449">
        <f t="shared" si="136"/>
        <v>0</v>
      </c>
      <c r="AZ274" s="449">
        <f t="shared" si="136"/>
        <v>0</v>
      </c>
      <c r="BA274" s="450">
        <f t="shared" si="136"/>
        <v>0</v>
      </c>
    </row>
    <row r="275" spans="1:53" s="246" customFormat="1" outlineLevel="1">
      <c r="A275" s="244"/>
      <c r="B275" s="244"/>
      <c r="C275" s="65" t="s">
        <v>41</v>
      </c>
      <c r="D275" s="85" t="s">
        <v>360</v>
      </c>
      <c r="E275" s="109" t="s">
        <v>88</v>
      </c>
      <c r="F275" s="448" t="s">
        <v>27</v>
      </c>
      <c r="G275" s="449">
        <f t="shared" ref="G275:L275" si="137">+IF(F26&lt;&gt;0,ROUND(G26/F26-1,4),0)</f>
        <v>-4.0800000000000003E-2</v>
      </c>
      <c r="H275" s="449">
        <f t="shared" si="137"/>
        <v>-6.0600000000000001E-2</v>
      </c>
      <c r="I275" s="449">
        <f t="shared" si="137"/>
        <v>3.5999999999999999E-3</v>
      </c>
      <c r="J275" s="449">
        <f t="shared" si="137"/>
        <v>-0.1019</v>
      </c>
      <c r="K275" s="449">
        <f t="shared" si="137"/>
        <v>-4.8300000000000003E-2</v>
      </c>
      <c r="L275" s="449">
        <f t="shared" si="137"/>
        <v>-0.21870000000000001</v>
      </c>
      <c r="M275" s="449">
        <f>+IF(K26&lt;&gt;0,ROUND(M26/K26-1,4),0)</f>
        <v>-0.31209999999999999</v>
      </c>
      <c r="N275" s="449">
        <f t="shared" ref="N275:BA275" si="138">+IF(M26&lt;&gt;0,ROUND(N26/M26-1,4),0)</f>
        <v>0.24229999999999999</v>
      </c>
      <c r="O275" s="449">
        <f t="shared" si="138"/>
        <v>0.61799999999999999</v>
      </c>
      <c r="P275" s="449">
        <f t="shared" si="138"/>
        <v>-0.1103</v>
      </c>
      <c r="Q275" s="449">
        <f t="shared" si="138"/>
        <v>-0.1239</v>
      </c>
      <c r="R275" s="449">
        <f t="shared" si="138"/>
        <v>-0.14449999999999999</v>
      </c>
      <c r="S275" s="449">
        <f t="shared" si="138"/>
        <v>-0.16900000000000001</v>
      </c>
      <c r="T275" s="449">
        <f t="shared" si="138"/>
        <v>-0.1779</v>
      </c>
      <c r="U275" s="449">
        <f t="shared" si="138"/>
        <v>-0.17</v>
      </c>
      <c r="V275" s="449">
        <f t="shared" si="138"/>
        <v>-0.17680000000000001</v>
      </c>
      <c r="W275" s="449">
        <f t="shared" si="138"/>
        <v>-0.2034</v>
      </c>
      <c r="X275" s="449">
        <f t="shared" si="138"/>
        <v>-0.34570000000000001</v>
      </c>
      <c r="Y275" s="449">
        <f t="shared" si="138"/>
        <v>-0.66669999999999996</v>
      </c>
      <c r="Z275" s="449">
        <f t="shared" si="138"/>
        <v>-1</v>
      </c>
      <c r="AA275" s="449">
        <f t="shared" si="138"/>
        <v>0</v>
      </c>
      <c r="AB275" s="449">
        <f t="shared" si="138"/>
        <v>0</v>
      </c>
      <c r="AC275" s="449">
        <f t="shared" si="138"/>
        <v>0</v>
      </c>
      <c r="AD275" s="449">
        <f t="shared" si="138"/>
        <v>0</v>
      </c>
      <c r="AE275" s="449">
        <f t="shared" si="138"/>
        <v>0</v>
      </c>
      <c r="AF275" s="449">
        <f t="shared" si="138"/>
        <v>0</v>
      </c>
      <c r="AG275" s="449">
        <f t="shared" si="138"/>
        <v>0</v>
      </c>
      <c r="AH275" s="449">
        <f t="shared" si="138"/>
        <v>0</v>
      </c>
      <c r="AI275" s="449">
        <f t="shared" si="138"/>
        <v>0</v>
      </c>
      <c r="AJ275" s="449">
        <f t="shared" si="138"/>
        <v>0</v>
      </c>
      <c r="AK275" s="449">
        <f t="shared" si="138"/>
        <v>0</v>
      </c>
      <c r="AL275" s="449">
        <f t="shared" si="138"/>
        <v>0</v>
      </c>
      <c r="AM275" s="449">
        <f t="shared" si="138"/>
        <v>0</v>
      </c>
      <c r="AN275" s="449">
        <f t="shared" si="138"/>
        <v>0</v>
      </c>
      <c r="AO275" s="449">
        <f t="shared" si="138"/>
        <v>0</v>
      </c>
      <c r="AP275" s="449">
        <f t="shared" si="138"/>
        <v>0</v>
      </c>
      <c r="AQ275" s="449">
        <f t="shared" si="138"/>
        <v>0</v>
      </c>
      <c r="AR275" s="449">
        <f t="shared" si="138"/>
        <v>0</v>
      </c>
      <c r="AS275" s="449">
        <f t="shared" si="138"/>
        <v>0</v>
      </c>
      <c r="AT275" s="449">
        <f t="shared" si="138"/>
        <v>0</v>
      </c>
      <c r="AU275" s="449">
        <f t="shared" si="138"/>
        <v>0</v>
      </c>
      <c r="AV275" s="449">
        <f t="shared" si="138"/>
        <v>0</v>
      </c>
      <c r="AW275" s="449">
        <f t="shared" si="138"/>
        <v>0</v>
      </c>
      <c r="AX275" s="449">
        <f t="shared" si="138"/>
        <v>0</v>
      </c>
      <c r="AY275" s="449">
        <f t="shared" si="138"/>
        <v>0</v>
      </c>
      <c r="AZ275" s="449">
        <f t="shared" si="138"/>
        <v>0</v>
      </c>
      <c r="BA275" s="450">
        <f t="shared" si="138"/>
        <v>0</v>
      </c>
    </row>
    <row r="276" spans="1:53" s="246" customFormat="1" outlineLevel="1">
      <c r="A276" s="244"/>
      <c r="B276" s="244"/>
      <c r="C276" s="65" t="s">
        <v>54</v>
      </c>
      <c r="D276" s="85" t="s">
        <v>361</v>
      </c>
      <c r="E276" s="447" t="s">
        <v>318</v>
      </c>
      <c r="F276" s="448" t="s">
        <v>27</v>
      </c>
      <c r="G276" s="449">
        <f t="shared" ref="G276:L276" si="139">+IF(F30&lt;&gt;0,ROUND(G30/F30-1,4),0)</f>
        <v>0.24490000000000001</v>
      </c>
      <c r="H276" s="449">
        <f t="shared" si="139"/>
        <v>-0.21240000000000001</v>
      </c>
      <c r="I276" s="449">
        <f t="shared" si="139"/>
        <v>0.91320000000000001</v>
      </c>
      <c r="J276" s="449">
        <f t="shared" si="139"/>
        <v>0.1104</v>
      </c>
      <c r="K276" s="449">
        <f t="shared" si="139"/>
        <v>9.1300000000000006E-2</v>
      </c>
      <c r="L276" s="449">
        <f t="shared" si="139"/>
        <v>0.184</v>
      </c>
      <c r="M276" s="449">
        <f>+IF(K30&lt;&gt;0,ROUND(M30/K30-1,4),0)</f>
        <v>5.1000000000000004E-3</v>
      </c>
      <c r="N276" s="449">
        <f t="shared" ref="N276:BA276" si="140">+IF(M30&lt;&gt;0,ROUND(N30/M30-1,4),0)</f>
        <v>0.71560000000000001</v>
      </c>
      <c r="O276" s="449">
        <f t="shared" si="140"/>
        <v>-0.12740000000000001</v>
      </c>
      <c r="P276" s="449">
        <f t="shared" si="140"/>
        <v>-0.95550000000000002</v>
      </c>
      <c r="Q276" s="449">
        <f t="shared" si="140"/>
        <v>0.56610000000000005</v>
      </c>
      <c r="R276" s="449">
        <f t="shared" si="140"/>
        <v>0.43590000000000001</v>
      </c>
      <c r="S276" s="449">
        <f t="shared" si="140"/>
        <v>0.29420000000000002</v>
      </c>
      <c r="T276" s="449">
        <f t="shared" si="140"/>
        <v>0.38269999999999998</v>
      </c>
      <c r="U276" s="449">
        <f t="shared" si="140"/>
        <v>0.1313</v>
      </c>
      <c r="V276" s="449">
        <f t="shared" si="140"/>
        <v>9.3100000000000002E-2</v>
      </c>
      <c r="W276" s="449">
        <f t="shared" si="140"/>
        <v>7.5499999999999998E-2</v>
      </c>
      <c r="X276" s="449">
        <f t="shared" si="140"/>
        <v>-7.2999999999999995E-2</v>
      </c>
      <c r="Y276" s="449">
        <f t="shared" si="140"/>
        <v>5.9299999999999999E-2</v>
      </c>
      <c r="Z276" s="449">
        <f t="shared" si="140"/>
        <v>-1</v>
      </c>
      <c r="AA276" s="449">
        <f t="shared" si="140"/>
        <v>0</v>
      </c>
      <c r="AB276" s="449">
        <f t="shared" si="140"/>
        <v>0</v>
      </c>
      <c r="AC276" s="449">
        <f t="shared" si="140"/>
        <v>0</v>
      </c>
      <c r="AD276" s="449">
        <f t="shared" si="140"/>
        <v>0</v>
      </c>
      <c r="AE276" s="449">
        <f t="shared" si="140"/>
        <v>0</v>
      </c>
      <c r="AF276" s="449">
        <f t="shared" si="140"/>
        <v>0</v>
      </c>
      <c r="AG276" s="449">
        <f t="shared" si="140"/>
        <v>0</v>
      </c>
      <c r="AH276" s="449">
        <f t="shared" si="140"/>
        <v>0</v>
      </c>
      <c r="AI276" s="449">
        <f t="shared" si="140"/>
        <v>0</v>
      </c>
      <c r="AJ276" s="449">
        <f t="shared" si="140"/>
        <v>0</v>
      </c>
      <c r="AK276" s="449">
        <f t="shared" si="140"/>
        <v>0</v>
      </c>
      <c r="AL276" s="449">
        <f t="shared" si="140"/>
        <v>0</v>
      </c>
      <c r="AM276" s="449">
        <f t="shared" si="140"/>
        <v>0</v>
      </c>
      <c r="AN276" s="449">
        <f t="shared" si="140"/>
        <v>0</v>
      </c>
      <c r="AO276" s="449">
        <f t="shared" si="140"/>
        <v>0</v>
      </c>
      <c r="AP276" s="449">
        <f t="shared" si="140"/>
        <v>0</v>
      </c>
      <c r="AQ276" s="449">
        <f t="shared" si="140"/>
        <v>0</v>
      </c>
      <c r="AR276" s="449">
        <f t="shared" si="140"/>
        <v>0</v>
      </c>
      <c r="AS276" s="449">
        <f t="shared" si="140"/>
        <v>0</v>
      </c>
      <c r="AT276" s="449">
        <f t="shared" si="140"/>
        <v>0</v>
      </c>
      <c r="AU276" s="449">
        <f t="shared" si="140"/>
        <v>0</v>
      </c>
      <c r="AV276" s="449">
        <f t="shared" si="140"/>
        <v>0</v>
      </c>
      <c r="AW276" s="449">
        <f t="shared" si="140"/>
        <v>0</v>
      </c>
      <c r="AX276" s="449">
        <f t="shared" si="140"/>
        <v>0</v>
      </c>
      <c r="AY276" s="449">
        <f t="shared" si="140"/>
        <v>0</v>
      </c>
      <c r="AZ276" s="449">
        <f t="shared" si="140"/>
        <v>0</v>
      </c>
      <c r="BA276" s="450">
        <f t="shared" si="140"/>
        <v>0</v>
      </c>
    </row>
    <row r="277" spans="1:53" s="246" customFormat="1" outlineLevel="1">
      <c r="A277" s="244"/>
      <c r="B277" s="244"/>
      <c r="C277" s="98" t="s">
        <v>371</v>
      </c>
      <c r="D277" s="85" t="s">
        <v>362</v>
      </c>
      <c r="E277" s="111" t="s">
        <v>219</v>
      </c>
      <c r="F277" s="448" t="s">
        <v>27</v>
      </c>
      <c r="G277" s="449">
        <f t="shared" ref="G277:L278" si="141">+IF(F57&lt;&gt;0,ROUND(G57/F57-1,4),0)</f>
        <v>0</v>
      </c>
      <c r="H277" s="449">
        <f t="shared" si="141"/>
        <v>0</v>
      </c>
      <c r="I277" s="449">
        <f t="shared" si="141"/>
        <v>0</v>
      </c>
      <c r="J277" s="449">
        <f t="shared" si="141"/>
        <v>0</v>
      </c>
      <c r="K277" s="449">
        <f t="shared" si="141"/>
        <v>0</v>
      </c>
      <c r="L277" s="449">
        <f t="shared" si="141"/>
        <v>0</v>
      </c>
      <c r="M277" s="449">
        <f>+IF(K57&lt;&gt;0,ROUND(M57/K57-1,4),0)</f>
        <v>0</v>
      </c>
      <c r="N277" s="449">
        <f t="shared" ref="N277:BA278" si="142">+IF(M57&lt;&gt;0,ROUND(N57/M57-1,4),0)</f>
        <v>0.54549999999999998</v>
      </c>
      <c r="O277" s="449">
        <f t="shared" si="142"/>
        <v>-5.4300000000000001E-2</v>
      </c>
      <c r="P277" s="449">
        <f t="shared" si="142"/>
        <v>-0.11</v>
      </c>
      <c r="Q277" s="449">
        <f t="shared" si="142"/>
        <v>-0.129</v>
      </c>
      <c r="R277" s="449">
        <f t="shared" si="142"/>
        <v>-0.14810000000000001</v>
      </c>
      <c r="S277" s="449">
        <f t="shared" si="142"/>
        <v>-0.1739</v>
      </c>
      <c r="T277" s="449">
        <f t="shared" si="142"/>
        <v>-0.15790000000000001</v>
      </c>
      <c r="U277" s="449">
        <f t="shared" si="142"/>
        <v>-0.1875</v>
      </c>
      <c r="V277" s="449">
        <f t="shared" si="142"/>
        <v>-0.23080000000000001</v>
      </c>
      <c r="W277" s="449">
        <f t="shared" si="142"/>
        <v>-0.3</v>
      </c>
      <c r="X277" s="449">
        <f t="shared" si="142"/>
        <v>-0.5</v>
      </c>
      <c r="Y277" s="449">
        <f t="shared" si="142"/>
        <v>-1</v>
      </c>
      <c r="Z277" s="449">
        <f t="shared" si="142"/>
        <v>0</v>
      </c>
      <c r="AA277" s="449">
        <f t="shared" si="142"/>
        <v>0</v>
      </c>
      <c r="AB277" s="449">
        <f t="shared" si="142"/>
        <v>0</v>
      </c>
      <c r="AC277" s="449">
        <f t="shared" si="142"/>
        <v>0</v>
      </c>
      <c r="AD277" s="449">
        <f t="shared" si="142"/>
        <v>0</v>
      </c>
      <c r="AE277" s="449">
        <f t="shared" si="142"/>
        <v>0</v>
      </c>
      <c r="AF277" s="449">
        <f t="shared" si="142"/>
        <v>0</v>
      </c>
      <c r="AG277" s="449">
        <f t="shared" si="142"/>
        <v>0</v>
      </c>
      <c r="AH277" s="449">
        <f t="shared" si="142"/>
        <v>0</v>
      </c>
      <c r="AI277" s="449">
        <f t="shared" si="142"/>
        <v>0</v>
      </c>
      <c r="AJ277" s="449">
        <f t="shared" si="142"/>
        <v>0</v>
      </c>
      <c r="AK277" s="449">
        <f t="shared" si="142"/>
        <v>0</v>
      </c>
      <c r="AL277" s="449">
        <f t="shared" si="142"/>
        <v>0</v>
      </c>
      <c r="AM277" s="449">
        <f t="shared" si="142"/>
        <v>0</v>
      </c>
      <c r="AN277" s="449">
        <f t="shared" si="142"/>
        <v>0</v>
      </c>
      <c r="AO277" s="449">
        <f t="shared" si="142"/>
        <v>0</v>
      </c>
      <c r="AP277" s="449">
        <f t="shared" si="142"/>
        <v>0</v>
      </c>
      <c r="AQ277" s="449">
        <f t="shared" si="142"/>
        <v>0</v>
      </c>
      <c r="AR277" s="449">
        <f t="shared" si="142"/>
        <v>0</v>
      </c>
      <c r="AS277" s="449">
        <f t="shared" si="142"/>
        <v>0</v>
      </c>
      <c r="AT277" s="449">
        <f t="shared" si="142"/>
        <v>0</v>
      </c>
      <c r="AU277" s="449">
        <f t="shared" si="142"/>
        <v>0</v>
      </c>
      <c r="AV277" s="449">
        <f t="shared" si="142"/>
        <v>0</v>
      </c>
      <c r="AW277" s="449">
        <f t="shared" si="142"/>
        <v>0</v>
      </c>
      <c r="AX277" s="449">
        <f t="shared" si="142"/>
        <v>0</v>
      </c>
      <c r="AY277" s="449">
        <f t="shared" si="142"/>
        <v>0</v>
      </c>
      <c r="AZ277" s="449">
        <f t="shared" si="142"/>
        <v>0</v>
      </c>
      <c r="BA277" s="450">
        <f t="shared" si="142"/>
        <v>0</v>
      </c>
    </row>
    <row r="278" spans="1:53" s="246" customFormat="1" outlineLevel="1">
      <c r="A278" s="244"/>
      <c r="B278" s="244"/>
      <c r="C278" s="65" t="s">
        <v>61</v>
      </c>
      <c r="D278" s="85"/>
      <c r="E278" s="447" t="s">
        <v>331</v>
      </c>
      <c r="F278" s="448" t="s">
        <v>27</v>
      </c>
      <c r="G278" s="449">
        <f t="shared" si="141"/>
        <v>0</v>
      </c>
      <c r="H278" s="449">
        <f t="shared" si="141"/>
        <v>0</v>
      </c>
      <c r="I278" s="449">
        <f t="shared" si="141"/>
        <v>0</v>
      </c>
      <c r="J278" s="449">
        <f t="shared" si="141"/>
        <v>0</v>
      </c>
      <c r="K278" s="449">
        <f t="shared" si="141"/>
        <v>0</v>
      </c>
      <c r="L278" s="449">
        <f t="shared" si="141"/>
        <v>0</v>
      </c>
      <c r="M278" s="449">
        <f>+IF(K58&lt;&gt;0,ROUND(M58/K58-1,4),0)</f>
        <v>0</v>
      </c>
      <c r="N278" s="449">
        <f t="shared" si="142"/>
        <v>0</v>
      </c>
      <c r="O278" s="449">
        <f t="shared" si="142"/>
        <v>0</v>
      </c>
      <c r="P278" s="449">
        <f t="shared" si="142"/>
        <v>0</v>
      </c>
      <c r="Q278" s="449">
        <f t="shared" si="142"/>
        <v>0</v>
      </c>
      <c r="R278" s="449">
        <f t="shared" si="142"/>
        <v>0</v>
      </c>
      <c r="S278" s="449">
        <f t="shared" si="142"/>
        <v>0</v>
      </c>
      <c r="T278" s="449">
        <f t="shared" si="142"/>
        <v>0</v>
      </c>
      <c r="U278" s="449">
        <f t="shared" si="142"/>
        <v>0</v>
      </c>
      <c r="V278" s="449">
        <f t="shared" si="142"/>
        <v>0</v>
      </c>
      <c r="W278" s="449">
        <f t="shared" si="142"/>
        <v>0</v>
      </c>
      <c r="X278" s="449">
        <f t="shared" si="142"/>
        <v>0</v>
      </c>
      <c r="Y278" s="449">
        <f t="shared" si="142"/>
        <v>0</v>
      </c>
      <c r="Z278" s="449">
        <f t="shared" si="142"/>
        <v>0</v>
      </c>
      <c r="AA278" s="449">
        <f t="shared" si="142"/>
        <v>0</v>
      </c>
      <c r="AB278" s="449">
        <f t="shared" si="142"/>
        <v>0</v>
      </c>
      <c r="AC278" s="449">
        <f t="shared" si="142"/>
        <v>0</v>
      </c>
      <c r="AD278" s="449">
        <f t="shared" si="142"/>
        <v>0</v>
      </c>
      <c r="AE278" s="449">
        <f t="shared" si="142"/>
        <v>0</v>
      </c>
      <c r="AF278" s="449">
        <f t="shared" si="142"/>
        <v>0</v>
      </c>
      <c r="AG278" s="449">
        <f t="shared" si="142"/>
        <v>0</v>
      </c>
      <c r="AH278" s="449">
        <f t="shared" si="142"/>
        <v>0</v>
      </c>
      <c r="AI278" s="449">
        <f t="shared" si="142"/>
        <v>0</v>
      </c>
      <c r="AJ278" s="449">
        <f t="shared" si="142"/>
        <v>0</v>
      </c>
      <c r="AK278" s="449">
        <f t="shared" si="142"/>
        <v>0</v>
      </c>
      <c r="AL278" s="449">
        <f t="shared" si="142"/>
        <v>0</v>
      </c>
      <c r="AM278" s="449">
        <f t="shared" si="142"/>
        <v>0</v>
      </c>
      <c r="AN278" s="449">
        <f t="shared" si="142"/>
        <v>0</v>
      </c>
      <c r="AO278" s="449">
        <f t="shared" si="142"/>
        <v>0</v>
      </c>
      <c r="AP278" s="449">
        <f t="shared" si="142"/>
        <v>0</v>
      </c>
      <c r="AQ278" s="449">
        <f t="shared" si="142"/>
        <v>0</v>
      </c>
      <c r="AR278" s="449">
        <f t="shared" si="142"/>
        <v>0</v>
      </c>
      <c r="AS278" s="449">
        <f t="shared" si="142"/>
        <v>0</v>
      </c>
      <c r="AT278" s="449">
        <f t="shared" si="142"/>
        <v>0</v>
      </c>
      <c r="AU278" s="449">
        <f t="shared" si="142"/>
        <v>0</v>
      </c>
      <c r="AV278" s="449">
        <f t="shared" si="142"/>
        <v>0</v>
      </c>
      <c r="AW278" s="449">
        <f t="shared" si="142"/>
        <v>0</v>
      </c>
      <c r="AX278" s="449">
        <f t="shared" si="142"/>
        <v>0</v>
      </c>
      <c r="AY278" s="449">
        <f t="shared" si="142"/>
        <v>0</v>
      </c>
      <c r="AZ278" s="449">
        <f t="shared" si="142"/>
        <v>0</v>
      </c>
      <c r="BA278" s="450">
        <f t="shared" si="142"/>
        <v>0</v>
      </c>
    </row>
    <row r="279" spans="1:53" s="246" customFormat="1" outlineLevel="1">
      <c r="A279" s="244"/>
      <c r="B279" s="244"/>
      <c r="C279" s="22">
        <v>7</v>
      </c>
      <c r="D279" s="85"/>
      <c r="E279" s="111" t="s">
        <v>62</v>
      </c>
      <c r="F279" s="448"/>
      <c r="G279" s="451"/>
      <c r="H279" s="451"/>
      <c r="I279" s="451"/>
      <c r="J279" s="451"/>
      <c r="K279" s="451"/>
      <c r="L279" s="451"/>
      <c r="M279" s="451"/>
      <c r="N279" s="452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451"/>
      <c r="AA279" s="451"/>
      <c r="AB279" s="451"/>
      <c r="AC279" s="451"/>
      <c r="AD279" s="451"/>
      <c r="AE279" s="451"/>
      <c r="AF279" s="451"/>
      <c r="AG279" s="451"/>
      <c r="AH279" s="451"/>
      <c r="AI279" s="451"/>
      <c r="AJ279" s="451"/>
      <c r="AK279" s="451"/>
      <c r="AL279" s="451"/>
      <c r="AM279" s="451"/>
      <c r="AN279" s="451"/>
      <c r="AO279" s="451"/>
      <c r="AP279" s="451"/>
      <c r="AQ279" s="451"/>
      <c r="AR279" s="451"/>
      <c r="AS279" s="451"/>
      <c r="AT279" s="451"/>
      <c r="AU279" s="451"/>
      <c r="AV279" s="451"/>
      <c r="AW279" s="451"/>
      <c r="AX279" s="451"/>
      <c r="AY279" s="451"/>
      <c r="AZ279" s="451"/>
      <c r="BA279" s="453"/>
    </row>
    <row r="280" spans="1:53" s="246" customFormat="1" outlineLevel="1">
      <c r="A280" s="244"/>
      <c r="B280" s="244"/>
      <c r="C280" s="73" t="s">
        <v>301</v>
      </c>
      <c r="D280" s="85" t="s">
        <v>367</v>
      </c>
      <c r="E280" s="454" t="s">
        <v>102</v>
      </c>
      <c r="F280" s="448" t="s">
        <v>27</v>
      </c>
      <c r="G280" s="449">
        <f t="shared" ref="G280:L281" si="143">+IF(F60&lt;&gt;0,ROUND(G60/F60-1,4),0)</f>
        <v>0.85040000000000004</v>
      </c>
      <c r="H280" s="449">
        <f t="shared" si="143"/>
        <v>-0.18079999999999999</v>
      </c>
      <c r="I280" s="449">
        <f t="shared" si="143"/>
        <v>0.19070000000000001</v>
      </c>
      <c r="J280" s="449">
        <f t="shared" si="143"/>
        <v>0.38319999999999999</v>
      </c>
      <c r="K280" s="449">
        <f t="shared" si="143"/>
        <v>-0.21890000000000001</v>
      </c>
      <c r="L280" s="449">
        <f t="shared" si="143"/>
        <v>-0.53779999999999994</v>
      </c>
      <c r="M280" s="449">
        <f>+IF(K60&lt;&gt;0,ROUND(M60/K60-1,4),0)</f>
        <v>0.90749999999999997</v>
      </c>
      <c r="N280" s="449">
        <f t="shared" ref="N280:BA281" si="144">+IF(M60&lt;&gt;0,ROUND(N60/M60-1,4),0)</f>
        <v>-0.87909999999999999</v>
      </c>
      <c r="O280" s="449">
        <f t="shared" si="144"/>
        <v>0.8</v>
      </c>
      <c r="P280" s="449">
        <f t="shared" si="144"/>
        <v>0.28370000000000001</v>
      </c>
      <c r="Q280" s="449">
        <f t="shared" si="144"/>
        <v>0.27329999999999999</v>
      </c>
      <c r="R280" s="449">
        <f t="shared" si="144"/>
        <v>0.22589999999999999</v>
      </c>
      <c r="S280" s="449">
        <f t="shared" si="144"/>
        <v>0.17860000000000001</v>
      </c>
      <c r="T280" s="449">
        <f t="shared" si="144"/>
        <v>0.14399999999999999</v>
      </c>
      <c r="U280" s="449">
        <f t="shared" si="144"/>
        <v>0.10580000000000001</v>
      </c>
      <c r="V280" s="449">
        <f t="shared" si="144"/>
        <v>7.6700000000000004E-2</v>
      </c>
      <c r="W280" s="449">
        <f t="shared" si="144"/>
        <v>6.3200000000000006E-2</v>
      </c>
      <c r="X280" s="449">
        <f t="shared" si="144"/>
        <v>5.3400000000000003E-2</v>
      </c>
      <c r="Y280" s="449">
        <f t="shared" si="144"/>
        <v>4.4200000000000003E-2</v>
      </c>
      <c r="Z280" s="449">
        <f t="shared" si="144"/>
        <v>-1</v>
      </c>
      <c r="AA280" s="449">
        <f t="shared" si="144"/>
        <v>0</v>
      </c>
      <c r="AB280" s="449">
        <f t="shared" si="144"/>
        <v>0</v>
      </c>
      <c r="AC280" s="449">
        <f t="shared" si="144"/>
        <v>0</v>
      </c>
      <c r="AD280" s="449">
        <f t="shared" si="144"/>
        <v>0</v>
      </c>
      <c r="AE280" s="449">
        <f t="shared" si="144"/>
        <v>0</v>
      </c>
      <c r="AF280" s="449">
        <f t="shared" si="144"/>
        <v>0</v>
      </c>
      <c r="AG280" s="449">
        <f t="shared" si="144"/>
        <v>0</v>
      </c>
      <c r="AH280" s="449">
        <f t="shared" si="144"/>
        <v>0</v>
      </c>
      <c r="AI280" s="449">
        <f t="shared" si="144"/>
        <v>0</v>
      </c>
      <c r="AJ280" s="449">
        <f t="shared" si="144"/>
        <v>0</v>
      </c>
      <c r="AK280" s="449">
        <f t="shared" si="144"/>
        <v>0</v>
      </c>
      <c r="AL280" s="449">
        <f t="shared" si="144"/>
        <v>0</v>
      </c>
      <c r="AM280" s="449">
        <f t="shared" si="144"/>
        <v>0</v>
      </c>
      <c r="AN280" s="449">
        <f t="shared" si="144"/>
        <v>0</v>
      </c>
      <c r="AO280" s="449">
        <f t="shared" si="144"/>
        <v>0</v>
      </c>
      <c r="AP280" s="449">
        <f t="shared" si="144"/>
        <v>0</v>
      </c>
      <c r="AQ280" s="449">
        <f t="shared" si="144"/>
        <v>0</v>
      </c>
      <c r="AR280" s="449">
        <f t="shared" si="144"/>
        <v>0</v>
      </c>
      <c r="AS280" s="449">
        <f t="shared" si="144"/>
        <v>0</v>
      </c>
      <c r="AT280" s="449">
        <f t="shared" si="144"/>
        <v>0</v>
      </c>
      <c r="AU280" s="449">
        <f t="shared" si="144"/>
        <v>0</v>
      </c>
      <c r="AV280" s="449">
        <f t="shared" si="144"/>
        <v>0</v>
      </c>
      <c r="AW280" s="449">
        <f t="shared" si="144"/>
        <v>0</v>
      </c>
      <c r="AX280" s="449">
        <f t="shared" si="144"/>
        <v>0</v>
      </c>
      <c r="AY280" s="449">
        <f t="shared" si="144"/>
        <v>0</v>
      </c>
      <c r="AZ280" s="449">
        <f t="shared" si="144"/>
        <v>0</v>
      </c>
      <c r="BA280" s="450">
        <f t="shared" si="144"/>
        <v>0</v>
      </c>
    </row>
    <row r="281" spans="1:53" s="246" customFormat="1" outlineLevel="1">
      <c r="A281" s="244"/>
      <c r="B281" s="244"/>
      <c r="C281" s="65" t="s">
        <v>302</v>
      </c>
      <c r="D281" s="85"/>
      <c r="E281" s="447" t="s">
        <v>544</v>
      </c>
      <c r="F281" s="448" t="s">
        <v>27</v>
      </c>
      <c r="G281" s="449">
        <f t="shared" si="143"/>
        <v>0.85040000000000004</v>
      </c>
      <c r="H281" s="449">
        <f t="shared" si="143"/>
        <v>-0.18079999999999999</v>
      </c>
      <c r="I281" s="449">
        <f t="shared" si="143"/>
        <v>0.19070000000000001</v>
      </c>
      <c r="J281" s="449">
        <f t="shared" si="143"/>
        <v>0.78339999999999999</v>
      </c>
      <c r="K281" s="449">
        <f t="shared" si="143"/>
        <v>0.51790000000000003</v>
      </c>
      <c r="L281" s="449">
        <f t="shared" si="143"/>
        <v>0.10580000000000001</v>
      </c>
      <c r="M281" s="449">
        <f>+IF(K61&lt;&gt;0,ROUND(M61/K61-1,4),0)</f>
        <v>0.68630000000000002</v>
      </c>
      <c r="N281" s="449">
        <f t="shared" si="144"/>
        <v>-0.5242</v>
      </c>
      <c r="O281" s="449">
        <f t="shared" si="144"/>
        <v>-0.79339999999999999</v>
      </c>
      <c r="P281" s="449">
        <f t="shared" si="144"/>
        <v>0.28370000000000001</v>
      </c>
      <c r="Q281" s="449">
        <f t="shared" si="144"/>
        <v>0.27329999999999999</v>
      </c>
      <c r="R281" s="449">
        <f t="shared" si="144"/>
        <v>0.22589999999999999</v>
      </c>
      <c r="S281" s="449">
        <f t="shared" si="144"/>
        <v>0.17860000000000001</v>
      </c>
      <c r="T281" s="449">
        <f t="shared" si="144"/>
        <v>0.14399999999999999</v>
      </c>
      <c r="U281" s="449">
        <f t="shared" si="144"/>
        <v>0.10580000000000001</v>
      </c>
      <c r="V281" s="449">
        <f t="shared" si="144"/>
        <v>7.6700000000000004E-2</v>
      </c>
      <c r="W281" s="449">
        <f t="shared" si="144"/>
        <v>6.3200000000000006E-2</v>
      </c>
      <c r="X281" s="449">
        <f t="shared" si="144"/>
        <v>5.3400000000000003E-2</v>
      </c>
      <c r="Y281" s="449">
        <f t="shared" si="144"/>
        <v>4.4200000000000003E-2</v>
      </c>
      <c r="Z281" s="449">
        <f t="shared" si="144"/>
        <v>-1</v>
      </c>
      <c r="AA281" s="449">
        <f t="shared" si="144"/>
        <v>0</v>
      </c>
      <c r="AB281" s="449">
        <f t="shared" si="144"/>
        <v>0</v>
      </c>
      <c r="AC281" s="449">
        <f t="shared" si="144"/>
        <v>0</v>
      </c>
      <c r="AD281" s="449">
        <f t="shared" si="144"/>
        <v>0</v>
      </c>
      <c r="AE281" s="449">
        <f t="shared" si="144"/>
        <v>0</v>
      </c>
      <c r="AF281" s="449">
        <f t="shared" si="144"/>
        <v>0</v>
      </c>
      <c r="AG281" s="449">
        <f t="shared" si="144"/>
        <v>0</v>
      </c>
      <c r="AH281" s="449">
        <f t="shared" si="144"/>
        <v>0</v>
      </c>
      <c r="AI281" s="449">
        <f t="shared" si="144"/>
        <v>0</v>
      </c>
      <c r="AJ281" s="449">
        <f t="shared" si="144"/>
        <v>0</v>
      </c>
      <c r="AK281" s="449">
        <f t="shared" si="144"/>
        <v>0</v>
      </c>
      <c r="AL281" s="449">
        <f t="shared" si="144"/>
        <v>0</v>
      </c>
      <c r="AM281" s="449">
        <f t="shared" si="144"/>
        <v>0</v>
      </c>
      <c r="AN281" s="449">
        <f t="shared" si="144"/>
        <v>0</v>
      </c>
      <c r="AO281" s="449">
        <f t="shared" si="144"/>
        <v>0</v>
      </c>
      <c r="AP281" s="449">
        <f t="shared" si="144"/>
        <v>0</v>
      </c>
      <c r="AQ281" s="449">
        <f t="shared" si="144"/>
        <v>0</v>
      </c>
      <c r="AR281" s="449">
        <f t="shared" si="144"/>
        <v>0</v>
      </c>
      <c r="AS281" s="449">
        <f t="shared" si="144"/>
        <v>0</v>
      </c>
      <c r="AT281" s="449">
        <f t="shared" si="144"/>
        <v>0</v>
      </c>
      <c r="AU281" s="449">
        <f t="shared" si="144"/>
        <v>0</v>
      </c>
      <c r="AV281" s="449">
        <f t="shared" si="144"/>
        <v>0</v>
      </c>
      <c r="AW281" s="449">
        <f t="shared" si="144"/>
        <v>0</v>
      </c>
      <c r="AX281" s="449">
        <f t="shared" si="144"/>
        <v>0</v>
      </c>
      <c r="AY281" s="449">
        <f t="shared" si="144"/>
        <v>0</v>
      </c>
      <c r="AZ281" s="449">
        <f t="shared" si="144"/>
        <v>0</v>
      </c>
      <c r="BA281" s="450">
        <f t="shared" si="144"/>
        <v>0</v>
      </c>
    </row>
    <row r="282" spans="1:53" s="246" customFormat="1" ht="24" outlineLevel="1">
      <c r="A282" s="244"/>
      <c r="B282" s="244"/>
      <c r="C282" s="22">
        <v>9</v>
      </c>
      <c r="D282" s="85"/>
      <c r="E282" s="111" t="s">
        <v>50</v>
      </c>
      <c r="F282" s="448"/>
      <c r="G282" s="451"/>
      <c r="H282" s="451"/>
      <c r="I282" s="451"/>
      <c r="J282" s="451"/>
      <c r="K282" s="451"/>
      <c r="L282" s="451"/>
      <c r="M282" s="451"/>
      <c r="N282" s="451"/>
      <c r="O282" s="451"/>
      <c r="P282" s="451"/>
      <c r="Q282" s="451"/>
      <c r="R282" s="451"/>
      <c r="S282" s="451"/>
      <c r="T282" s="451"/>
      <c r="U282" s="451"/>
      <c r="V282" s="451"/>
      <c r="W282" s="451"/>
      <c r="X282" s="451"/>
      <c r="Y282" s="451"/>
      <c r="Z282" s="451"/>
      <c r="AA282" s="451"/>
      <c r="AB282" s="451"/>
      <c r="AC282" s="451"/>
      <c r="AD282" s="451"/>
      <c r="AE282" s="451"/>
      <c r="AF282" s="451"/>
      <c r="AG282" s="451"/>
      <c r="AH282" s="451"/>
      <c r="AI282" s="451"/>
      <c r="AJ282" s="451"/>
      <c r="AK282" s="451"/>
      <c r="AL282" s="451"/>
      <c r="AM282" s="451"/>
      <c r="AN282" s="451"/>
      <c r="AO282" s="451"/>
      <c r="AP282" s="451"/>
      <c r="AQ282" s="451"/>
      <c r="AR282" s="451"/>
      <c r="AS282" s="451"/>
      <c r="AT282" s="451"/>
      <c r="AU282" s="451"/>
      <c r="AV282" s="451"/>
      <c r="AW282" s="451"/>
      <c r="AX282" s="451"/>
      <c r="AY282" s="451"/>
      <c r="AZ282" s="451"/>
      <c r="BA282" s="453"/>
    </row>
    <row r="283" spans="1:53" s="246" customFormat="1" ht="24" outlineLevel="1">
      <c r="A283" s="244"/>
      <c r="B283" s="244"/>
      <c r="C283" s="65" t="s">
        <v>66</v>
      </c>
      <c r="D283" s="85"/>
      <c r="E283" s="447" t="s">
        <v>335</v>
      </c>
      <c r="F283" s="448" t="s">
        <v>27</v>
      </c>
      <c r="G283" s="449">
        <f t="shared" ref="G283:L284" si="145">+IF(F78&lt;&gt;0,ROUND(G78/F78-1,4),0)</f>
        <v>-0.44219999999999998</v>
      </c>
      <c r="H283" s="449">
        <f t="shared" si="145"/>
        <v>4.1356000000000002</v>
      </c>
      <c r="I283" s="449">
        <f t="shared" si="145"/>
        <v>0.50719999999999998</v>
      </c>
      <c r="J283" s="449">
        <f t="shared" si="145"/>
        <v>7.8200000000000006E-2</v>
      </c>
      <c r="K283" s="449">
        <f t="shared" si="145"/>
        <v>7.6399999999999996E-2</v>
      </c>
      <c r="L283" s="449">
        <f t="shared" si="145"/>
        <v>0.24030000000000001</v>
      </c>
      <c r="M283" s="449">
        <f>+IF(K78&lt;&gt;0,ROUND(M78/K78-1,4),0)</f>
        <v>0.15659999999999999</v>
      </c>
      <c r="N283" s="449">
        <f t="shared" ref="N283:BA284" si="146">+IF(M78&lt;&gt;0,ROUND(N78/M78-1,4),0)</f>
        <v>0.53269999999999995</v>
      </c>
      <c r="O283" s="449">
        <f t="shared" si="146"/>
        <v>-1</v>
      </c>
      <c r="P283" s="449">
        <f t="shared" si="146"/>
        <v>0</v>
      </c>
      <c r="Q283" s="449">
        <f t="shared" si="146"/>
        <v>0</v>
      </c>
      <c r="R283" s="449">
        <f t="shared" si="146"/>
        <v>0</v>
      </c>
      <c r="S283" s="449">
        <f t="shared" si="146"/>
        <v>0</v>
      </c>
      <c r="T283" s="449">
        <f t="shared" si="146"/>
        <v>0</v>
      </c>
      <c r="U283" s="449">
        <f t="shared" si="146"/>
        <v>0</v>
      </c>
      <c r="V283" s="449">
        <f t="shared" si="146"/>
        <v>0</v>
      </c>
      <c r="W283" s="449">
        <f t="shared" si="146"/>
        <v>0</v>
      </c>
      <c r="X283" s="449">
        <f t="shared" si="146"/>
        <v>0</v>
      </c>
      <c r="Y283" s="449">
        <f t="shared" si="146"/>
        <v>0</v>
      </c>
      <c r="Z283" s="449">
        <f t="shared" si="146"/>
        <v>0</v>
      </c>
      <c r="AA283" s="449">
        <f t="shared" si="146"/>
        <v>0</v>
      </c>
      <c r="AB283" s="449">
        <f t="shared" si="146"/>
        <v>0</v>
      </c>
      <c r="AC283" s="449">
        <f t="shared" si="146"/>
        <v>0</v>
      </c>
      <c r="AD283" s="449">
        <f t="shared" si="146"/>
        <v>0</v>
      </c>
      <c r="AE283" s="449">
        <f t="shared" si="146"/>
        <v>0</v>
      </c>
      <c r="AF283" s="449">
        <f t="shared" si="146"/>
        <v>0</v>
      </c>
      <c r="AG283" s="449">
        <f t="shared" si="146"/>
        <v>0</v>
      </c>
      <c r="AH283" s="449">
        <f t="shared" si="146"/>
        <v>0</v>
      </c>
      <c r="AI283" s="449">
        <f t="shared" si="146"/>
        <v>0</v>
      </c>
      <c r="AJ283" s="449">
        <f t="shared" si="146"/>
        <v>0</v>
      </c>
      <c r="AK283" s="449">
        <f t="shared" si="146"/>
        <v>0</v>
      </c>
      <c r="AL283" s="449">
        <f t="shared" si="146"/>
        <v>0</v>
      </c>
      <c r="AM283" s="449">
        <f t="shared" si="146"/>
        <v>0</v>
      </c>
      <c r="AN283" s="449">
        <f t="shared" si="146"/>
        <v>0</v>
      </c>
      <c r="AO283" s="449">
        <f t="shared" si="146"/>
        <v>0</v>
      </c>
      <c r="AP283" s="449">
        <f t="shared" si="146"/>
        <v>0</v>
      </c>
      <c r="AQ283" s="449">
        <f t="shared" si="146"/>
        <v>0</v>
      </c>
      <c r="AR283" s="449">
        <f t="shared" si="146"/>
        <v>0</v>
      </c>
      <c r="AS283" s="449">
        <f t="shared" si="146"/>
        <v>0</v>
      </c>
      <c r="AT283" s="449">
        <f t="shared" si="146"/>
        <v>0</v>
      </c>
      <c r="AU283" s="449">
        <f t="shared" si="146"/>
        <v>0</v>
      </c>
      <c r="AV283" s="449">
        <f t="shared" si="146"/>
        <v>0</v>
      </c>
      <c r="AW283" s="449">
        <f t="shared" si="146"/>
        <v>0</v>
      </c>
      <c r="AX283" s="449">
        <f t="shared" si="146"/>
        <v>0</v>
      </c>
      <c r="AY283" s="449">
        <f t="shared" si="146"/>
        <v>0</v>
      </c>
      <c r="AZ283" s="449">
        <f t="shared" si="146"/>
        <v>0</v>
      </c>
      <c r="BA283" s="450">
        <f t="shared" si="146"/>
        <v>0</v>
      </c>
    </row>
    <row r="284" spans="1:53" s="246" customFormat="1" ht="24" outlineLevel="1">
      <c r="A284" s="244"/>
      <c r="B284" s="244"/>
      <c r="C284" s="65" t="s">
        <v>283</v>
      </c>
      <c r="D284" s="85"/>
      <c r="E284" s="109" t="s">
        <v>336</v>
      </c>
      <c r="F284" s="448" t="s">
        <v>27</v>
      </c>
      <c r="G284" s="449">
        <f t="shared" si="145"/>
        <v>-0.44219999999999998</v>
      </c>
      <c r="H284" s="449">
        <f t="shared" si="145"/>
        <v>4.1356000000000002</v>
      </c>
      <c r="I284" s="449">
        <f t="shared" si="145"/>
        <v>0.50719999999999998</v>
      </c>
      <c r="J284" s="449">
        <f t="shared" si="145"/>
        <v>7.8200000000000006E-2</v>
      </c>
      <c r="K284" s="449">
        <f t="shared" si="145"/>
        <v>7.6399999999999996E-2</v>
      </c>
      <c r="L284" s="449">
        <f t="shared" si="145"/>
        <v>0.24030000000000001</v>
      </c>
      <c r="M284" s="449">
        <f>+IF(K79&lt;&gt;0,ROUND(M79/K79-1,4),0)</f>
        <v>0.15659999999999999</v>
      </c>
      <c r="N284" s="449">
        <f t="shared" si="146"/>
        <v>0.53269999999999995</v>
      </c>
      <c r="O284" s="449">
        <f t="shared" si="146"/>
        <v>-1</v>
      </c>
      <c r="P284" s="449">
        <f t="shared" si="146"/>
        <v>0</v>
      </c>
      <c r="Q284" s="449">
        <f t="shared" si="146"/>
        <v>0</v>
      </c>
      <c r="R284" s="449">
        <f t="shared" si="146"/>
        <v>0</v>
      </c>
      <c r="S284" s="449">
        <f t="shared" si="146"/>
        <v>0</v>
      </c>
      <c r="T284" s="449">
        <f t="shared" si="146"/>
        <v>0</v>
      </c>
      <c r="U284" s="449">
        <f t="shared" si="146"/>
        <v>0</v>
      </c>
      <c r="V284" s="449">
        <f t="shared" si="146"/>
        <v>0</v>
      </c>
      <c r="W284" s="449">
        <f t="shared" si="146"/>
        <v>0</v>
      </c>
      <c r="X284" s="449">
        <f t="shared" si="146"/>
        <v>0</v>
      </c>
      <c r="Y284" s="449">
        <f t="shared" si="146"/>
        <v>0</v>
      </c>
      <c r="Z284" s="449">
        <f t="shared" si="146"/>
        <v>0</v>
      </c>
      <c r="AA284" s="449">
        <f t="shared" si="146"/>
        <v>0</v>
      </c>
      <c r="AB284" s="449">
        <f t="shared" si="146"/>
        <v>0</v>
      </c>
      <c r="AC284" s="449">
        <f t="shared" si="146"/>
        <v>0</v>
      </c>
      <c r="AD284" s="449">
        <f t="shared" si="146"/>
        <v>0</v>
      </c>
      <c r="AE284" s="449">
        <f t="shared" si="146"/>
        <v>0</v>
      </c>
      <c r="AF284" s="449">
        <f t="shared" si="146"/>
        <v>0</v>
      </c>
      <c r="AG284" s="449">
        <f t="shared" si="146"/>
        <v>0</v>
      </c>
      <c r="AH284" s="449">
        <f t="shared" si="146"/>
        <v>0</v>
      </c>
      <c r="AI284" s="449">
        <f t="shared" si="146"/>
        <v>0</v>
      </c>
      <c r="AJ284" s="449">
        <f t="shared" si="146"/>
        <v>0</v>
      </c>
      <c r="AK284" s="449">
        <f t="shared" si="146"/>
        <v>0</v>
      </c>
      <c r="AL284" s="449">
        <f t="shared" si="146"/>
        <v>0</v>
      </c>
      <c r="AM284" s="449">
        <f t="shared" si="146"/>
        <v>0</v>
      </c>
      <c r="AN284" s="449">
        <f t="shared" si="146"/>
        <v>0</v>
      </c>
      <c r="AO284" s="449">
        <f t="shared" si="146"/>
        <v>0</v>
      </c>
      <c r="AP284" s="449">
        <f t="shared" si="146"/>
        <v>0</v>
      </c>
      <c r="AQ284" s="449">
        <f t="shared" si="146"/>
        <v>0</v>
      </c>
      <c r="AR284" s="449">
        <f t="shared" si="146"/>
        <v>0</v>
      </c>
      <c r="AS284" s="449">
        <f t="shared" si="146"/>
        <v>0</v>
      </c>
      <c r="AT284" s="449">
        <f t="shared" si="146"/>
        <v>0</v>
      </c>
      <c r="AU284" s="449">
        <f t="shared" si="146"/>
        <v>0</v>
      </c>
      <c r="AV284" s="449">
        <f t="shared" si="146"/>
        <v>0</v>
      </c>
      <c r="AW284" s="449">
        <f t="shared" si="146"/>
        <v>0</v>
      </c>
      <c r="AX284" s="449">
        <f t="shared" si="146"/>
        <v>0</v>
      </c>
      <c r="AY284" s="449">
        <f t="shared" si="146"/>
        <v>0</v>
      </c>
      <c r="AZ284" s="449">
        <f t="shared" si="146"/>
        <v>0</v>
      </c>
      <c r="BA284" s="450">
        <f t="shared" si="146"/>
        <v>0</v>
      </c>
    </row>
    <row r="285" spans="1:53" s="246" customFormat="1" ht="24" outlineLevel="1">
      <c r="A285" s="244"/>
      <c r="B285" s="244"/>
      <c r="C285" s="65" t="s">
        <v>67</v>
      </c>
      <c r="D285" s="85"/>
      <c r="E285" s="447" t="s">
        <v>338</v>
      </c>
      <c r="F285" s="448" t="s">
        <v>27</v>
      </c>
      <c r="G285" s="449">
        <f t="shared" ref="G285:L286" si="147">+IF(F81&lt;&gt;0,ROUND(G81/F81-1,4),0)</f>
        <v>0</v>
      </c>
      <c r="H285" s="449">
        <f t="shared" si="147"/>
        <v>0</v>
      </c>
      <c r="I285" s="449">
        <f t="shared" si="147"/>
        <v>0</v>
      </c>
      <c r="J285" s="449">
        <f t="shared" si="147"/>
        <v>0.80210000000000004</v>
      </c>
      <c r="K285" s="449">
        <f t="shared" si="147"/>
        <v>-0.50739999999999996</v>
      </c>
      <c r="L285" s="449">
        <f t="shared" si="147"/>
        <v>-1</v>
      </c>
      <c r="M285" s="449">
        <f>+IF(K81&lt;&gt;0,ROUND(M81/K81-1,4),0)</f>
        <v>-1</v>
      </c>
      <c r="N285" s="449">
        <f t="shared" ref="N285:BA286" si="148">+IF(M81&lt;&gt;0,ROUND(N81/M81-1,4),0)</f>
        <v>0</v>
      </c>
      <c r="O285" s="449">
        <f t="shared" si="148"/>
        <v>-1</v>
      </c>
      <c r="P285" s="449">
        <f t="shared" si="148"/>
        <v>0</v>
      </c>
      <c r="Q285" s="449">
        <f t="shared" si="148"/>
        <v>0</v>
      </c>
      <c r="R285" s="449">
        <f t="shared" si="148"/>
        <v>0</v>
      </c>
      <c r="S285" s="449">
        <f t="shared" si="148"/>
        <v>0</v>
      </c>
      <c r="T285" s="449">
        <f t="shared" si="148"/>
        <v>0</v>
      </c>
      <c r="U285" s="449">
        <f t="shared" si="148"/>
        <v>0</v>
      </c>
      <c r="V285" s="449">
        <f t="shared" si="148"/>
        <v>0</v>
      </c>
      <c r="W285" s="449">
        <f t="shared" si="148"/>
        <v>0</v>
      </c>
      <c r="X285" s="449">
        <f t="shared" si="148"/>
        <v>0</v>
      </c>
      <c r="Y285" s="449">
        <f t="shared" si="148"/>
        <v>0</v>
      </c>
      <c r="Z285" s="449">
        <f t="shared" si="148"/>
        <v>0</v>
      </c>
      <c r="AA285" s="449">
        <f t="shared" si="148"/>
        <v>0</v>
      </c>
      <c r="AB285" s="449">
        <f t="shared" si="148"/>
        <v>0</v>
      </c>
      <c r="AC285" s="449">
        <f t="shared" si="148"/>
        <v>0</v>
      </c>
      <c r="AD285" s="449">
        <f t="shared" si="148"/>
        <v>0</v>
      </c>
      <c r="AE285" s="449">
        <f t="shared" si="148"/>
        <v>0</v>
      </c>
      <c r="AF285" s="449">
        <f t="shared" si="148"/>
        <v>0</v>
      </c>
      <c r="AG285" s="449">
        <f t="shared" si="148"/>
        <v>0</v>
      </c>
      <c r="AH285" s="449">
        <f t="shared" si="148"/>
        <v>0</v>
      </c>
      <c r="AI285" s="449">
        <f t="shared" si="148"/>
        <v>0</v>
      </c>
      <c r="AJ285" s="449">
        <f t="shared" si="148"/>
        <v>0</v>
      </c>
      <c r="AK285" s="449">
        <f t="shared" si="148"/>
        <v>0</v>
      </c>
      <c r="AL285" s="449">
        <f t="shared" si="148"/>
        <v>0</v>
      </c>
      <c r="AM285" s="449">
        <f t="shared" si="148"/>
        <v>0</v>
      </c>
      <c r="AN285" s="449">
        <f t="shared" si="148"/>
        <v>0</v>
      </c>
      <c r="AO285" s="449">
        <f t="shared" si="148"/>
        <v>0</v>
      </c>
      <c r="AP285" s="449">
        <f t="shared" si="148"/>
        <v>0</v>
      </c>
      <c r="AQ285" s="449">
        <f t="shared" si="148"/>
        <v>0</v>
      </c>
      <c r="AR285" s="449">
        <f t="shared" si="148"/>
        <v>0</v>
      </c>
      <c r="AS285" s="449">
        <f t="shared" si="148"/>
        <v>0</v>
      </c>
      <c r="AT285" s="449">
        <f t="shared" si="148"/>
        <v>0</v>
      </c>
      <c r="AU285" s="449">
        <f t="shared" si="148"/>
        <v>0</v>
      </c>
      <c r="AV285" s="449">
        <f t="shared" si="148"/>
        <v>0</v>
      </c>
      <c r="AW285" s="449">
        <f t="shared" si="148"/>
        <v>0</v>
      </c>
      <c r="AX285" s="449">
        <f t="shared" si="148"/>
        <v>0</v>
      </c>
      <c r="AY285" s="449">
        <f t="shared" si="148"/>
        <v>0</v>
      </c>
      <c r="AZ285" s="449">
        <f t="shared" si="148"/>
        <v>0</v>
      </c>
      <c r="BA285" s="450">
        <f t="shared" si="148"/>
        <v>0</v>
      </c>
    </row>
    <row r="286" spans="1:53" s="246" customFormat="1" ht="24" outlineLevel="1">
      <c r="A286" s="244"/>
      <c r="B286" s="244"/>
      <c r="C286" s="65" t="s">
        <v>285</v>
      </c>
      <c r="D286" s="85"/>
      <c r="E286" s="109" t="s">
        <v>339</v>
      </c>
      <c r="F286" s="448" t="s">
        <v>27</v>
      </c>
      <c r="G286" s="449">
        <f t="shared" si="147"/>
        <v>0</v>
      </c>
      <c r="H286" s="449">
        <f t="shared" si="147"/>
        <v>0</v>
      </c>
      <c r="I286" s="449">
        <f t="shared" si="147"/>
        <v>0</v>
      </c>
      <c r="J286" s="449">
        <f t="shared" si="147"/>
        <v>0.80210000000000004</v>
      </c>
      <c r="K286" s="449">
        <f t="shared" si="147"/>
        <v>-0.50739999999999996</v>
      </c>
      <c r="L286" s="449">
        <f t="shared" si="147"/>
        <v>-1</v>
      </c>
      <c r="M286" s="449">
        <f>+IF(K82&lt;&gt;0,ROUND(M82/K82-1,4),0)</f>
        <v>-1</v>
      </c>
      <c r="N286" s="449">
        <f t="shared" si="148"/>
        <v>0</v>
      </c>
      <c r="O286" s="449">
        <f t="shared" si="148"/>
        <v>-1</v>
      </c>
      <c r="P286" s="449">
        <f t="shared" si="148"/>
        <v>0</v>
      </c>
      <c r="Q286" s="449">
        <f t="shared" si="148"/>
        <v>0</v>
      </c>
      <c r="R286" s="449">
        <f t="shared" si="148"/>
        <v>0</v>
      </c>
      <c r="S286" s="449">
        <f t="shared" si="148"/>
        <v>0</v>
      </c>
      <c r="T286" s="449">
        <f t="shared" si="148"/>
        <v>0</v>
      </c>
      <c r="U286" s="449">
        <f t="shared" si="148"/>
        <v>0</v>
      </c>
      <c r="V286" s="449">
        <f t="shared" si="148"/>
        <v>0</v>
      </c>
      <c r="W286" s="449">
        <f t="shared" si="148"/>
        <v>0</v>
      </c>
      <c r="X286" s="449">
        <f t="shared" si="148"/>
        <v>0</v>
      </c>
      <c r="Y286" s="449">
        <f t="shared" si="148"/>
        <v>0</v>
      </c>
      <c r="Z286" s="449">
        <f t="shared" si="148"/>
        <v>0</v>
      </c>
      <c r="AA286" s="449">
        <f t="shared" si="148"/>
        <v>0</v>
      </c>
      <c r="AB286" s="449">
        <f t="shared" si="148"/>
        <v>0</v>
      </c>
      <c r="AC286" s="449">
        <f t="shared" si="148"/>
        <v>0</v>
      </c>
      <c r="AD286" s="449">
        <f t="shared" si="148"/>
        <v>0</v>
      </c>
      <c r="AE286" s="449">
        <f t="shared" si="148"/>
        <v>0</v>
      </c>
      <c r="AF286" s="449">
        <f t="shared" si="148"/>
        <v>0</v>
      </c>
      <c r="AG286" s="449">
        <f t="shared" si="148"/>
        <v>0</v>
      </c>
      <c r="AH286" s="449">
        <f t="shared" si="148"/>
        <v>0</v>
      </c>
      <c r="AI286" s="449">
        <f t="shared" si="148"/>
        <v>0</v>
      </c>
      <c r="AJ286" s="449">
        <f t="shared" si="148"/>
        <v>0</v>
      </c>
      <c r="AK286" s="449">
        <f t="shared" si="148"/>
        <v>0</v>
      </c>
      <c r="AL286" s="449">
        <f t="shared" si="148"/>
        <v>0</v>
      </c>
      <c r="AM286" s="449">
        <f t="shared" si="148"/>
        <v>0</v>
      </c>
      <c r="AN286" s="449">
        <f t="shared" si="148"/>
        <v>0</v>
      </c>
      <c r="AO286" s="449">
        <f t="shared" si="148"/>
        <v>0</v>
      </c>
      <c r="AP286" s="449">
        <f t="shared" si="148"/>
        <v>0</v>
      </c>
      <c r="AQ286" s="449">
        <f t="shared" si="148"/>
        <v>0</v>
      </c>
      <c r="AR286" s="449">
        <f t="shared" si="148"/>
        <v>0</v>
      </c>
      <c r="AS286" s="449">
        <f t="shared" si="148"/>
        <v>0</v>
      </c>
      <c r="AT286" s="449">
        <f t="shared" si="148"/>
        <v>0</v>
      </c>
      <c r="AU286" s="449">
        <f t="shared" si="148"/>
        <v>0</v>
      </c>
      <c r="AV286" s="449">
        <f t="shared" si="148"/>
        <v>0</v>
      </c>
      <c r="AW286" s="449">
        <f t="shared" si="148"/>
        <v>0</v>
      </c>
      <c r="AX286" s="449">
        <f t="shared" si="148"/>
        <v>0</v>
      </c>
      <c r="AY286" s="449">
        <f t="shared" si="148"/>
        <v>0</v>
      </c>
      <c r="AZ286" s="449">
        <f t="shared" si="148"/>
        <v>0</v>
      </c>
      <c r="BA286" s="450">
        <f t="shared" si="148"/>
        <v>0</v>
      </c>
    </row>
    <row r="287" spans="1:53" s="246" customFormat="1" ht="24" outlineLevel="1">
      <c r="A287" s="244"/>
      <c r="B287" s="244"/>
      <c r="C287" s="65" t="s">
        <v>68</v>
      </c>
      <c r="D287" s="85"/>
      <c r="E287" s="447" t="s">
        <v>97</v>
      </c>
      <c r="F287" s="448" t="s">
        <v>27</v>
      </c>
      <c r="G287" s="449">
        <f t="shared" ref="G287:L288" si="149">+IF(F84&lt;&gt;0,ROUND(G84/F84-1,4),0)</f>
        <v>-0.54420000000000002</v>
      </c>
      <c r="H287" s="449">
        <f t="shared" si="149"/>
        <v>3.4998</v>
      </c>
      <c r="I287" s="449">
        <f t="shared" si="149"/>
        <v>0.41420000000000001</v>
      </c>
      <c r="J287" s="449">
        <f t="shared" si="149"/>
        <v>0.54320000000000002</v>
      </c>
      <c r="K287" s="449">
        <f t="shared" si="149"/>
        <v>-5.4199999999999998E-2</v>
      </c>
      <c r="L287" s="449">
        <f t="shared" si="149"/>
        <v>0.7843</v>
      </c>
      <c r="M287" s="449">
        <f>+IF(K84&lt;&gt;0,ROUND(M84/K84-1,4),0)</f>
        <v>-0.43859999999999999</v>
      </c>
      <c r="N287" s="449">
        <f t="shared" ref="N287:BA288" si="150">+IF(M84&lt;&gt;0,ROUND(N84/M84-1,4),0)</f>
        <v>3.0937000000000001</v>
      </c>
      <c r="O287" s="449">
        <f t="shared" si="150"/>
        <v>-0.81920000000000004</v>
      </c>
      <c r="P287" s="449">
        <f t="shared" si="150"/>
        <v>-1</v>
      </c>
      <c r="Q287" s="449">
        <f t="shared" si="150"/>
        <v>0</v>
      </c>
      <c r="R287" s="449">
        <f t="shared" si="150"/>
        <v>0</v>
      </c>
      <c r="S287" s="449">
        <f t="shared" si="150"/>
        <v>0</v>
      </c>
      <c r="T287" s="449">
        <f t="shared" si="150"/>
        <v>0</v>
      </c>
      <c r="U287" s="449">
        <f t="shared" si="150"/>
        <v>0</v>
      </c>
      <c r="V287" s="449">
        <f t="shared" si="150"/>
        <v>0</v>
      </c>
      <c r="W287" s="449">
        <f t="shared" si="150"/>
        <v>0</v>
      </c>
      <c r="X287" s="449">
        <f t="shared" si="150"/>
        <v>0</v>
      </c>
      <c r="Y287" s="449">
        <f t="shared" si="150"/>
        <v>0</v>
      </c>
      <c r="Z287" s="449">
        <f t="shared" si="150"/>
        <v>0</v>
      </c>
      <c r="AA287" s="449">
        <f t="shared" si="150"/>
        <v>0</v>
      </c>
      <c r="AB287" s="449">
        <f t="shared" si="150"/>
        <v>0</v>
      </c>
      <c r="AC287" s="449">
        <f t="shared" si="150"/>
        <v>0</v>
      </c>
      <c r="AD287" s="449">
        <f t="shared" si="150"/>
        <v>0</v>
      </c>
      <c r="AE287" s="449">
        <f t="shared" si="150"/>
        <v>0</v>
      </c>
      <c r="AF287" s="449">
        <f t="shared" si="150"/>
        <v>0</v>
      </c>
      <c r="AG287" s="449">
        <f t="shared" si="150"/>
        <v>0</v>
      </c>
      <c r="AH287" s="449">
        <f t="shared" si="150"/>
        <v>0</v>
      </c>
      <c r="AI287" s="449">
        <f t="shared" si="150"/>
        <v>0</v>
      </c>
      <c r="AJ287" s="449">
        <f t="shared" si="150"/>
        <v>0</v>
      </c>
      <c r="AK287" s="449">
        <f t="shared" si="150"/>
        <v>0</v>
      </c>
      <c r="AL287" s="449">
        <f t="shared" si="150"/>
        <v>0</v>
      </c>
      <c r="AM287" s="449">
        <f t="shared" si="150"/>
        <v>0</v>
      </c>
      <c r="AN287" s="449">
        <f t="shared" si="150"/>
        <v>0</v>
      </c>
      <c r="AO287" s="449">
        <f t="shared" si="150"/>
        <v>0</v>
      </c>
      <c r="AP287" s="449">
        <f t="shared" si="150"/>
        <v>0</v>
      </c>
      <c r="AQ287" s="449">
        <f t="shared" si="150"/>
        <v>0</v>
      </c>
      <c r="AR287" s="449">
        <f t="shared" si="150"/>
        <v>0</v>
      </c>
      <c r="AS287" s="449">
        <f t="shared" si="150"/>
        <v>0</v>
      </c>
      <c r="AT287" s="449">
        <f t="shared" si="150"/>
        <v>0</v>
      </c>
      <c r="AU287" s="449">
        <f t="shared" si="150"/>
        <v>0</v>
      </c>
      <c r="AV287" s="449">
        <f t="shared" si="150"/>
        <v>0</v>
      </c>
      <c r="AW287" s="449">
        <f t="shared" si="150"/>
        <v>0</v>
      </c>
      <c r="AX287" s="449">
        <f t="shared" si="150"/>
        <v>0</v>
      </c>
      <c r="AY287" s="449">
        <f t="shared" si="150"/>
        <v>0</v>
      </c>
      <c r="AZ287" s="449">
        <f t="shared" si="150"/>
        <v>0</v>
      </c>
      <c r="BA287" s="450">
        <f t="shared" si="150"/>
        <v>0</v>
      </c>
    </row>
    <row r="288" spans="1:53" s="246" customFormat="1" ht="24" outlineLevel="1">
      <c r="A288" s="244"/>
      <c r="B288" s="244"/>
      <c r="C288" s="65" t="s">
        <v>287</v>
      </c>
      <c r="D288" s="85"/>
      <c r="E288" s="109" t="s">
        <v>340</v>
      </c>
      <c r="F288" s="448" t="s">
        <v>27</v>
      </c>
      <c r="G288" s="449">
        <f t="shared" si="149"/>
        <v>-0.54420000000000002</v>
      </c>
      <c r="H288" s="449">
        <f t="shared" si="149"/>
        <v>3.4998</v>
      </c>
      <c r="I288" s="449">
        <f t="shared" si="149"/>
        <v>0.41420000000000001</v>
      </c>
      <c r="J288" s="449">
        <f t="shared" si="149"/>
        <v>0.54320000000000002</v>
      </c>
      <c r="K288" s="449">
        <f t="shared" si="149"/>
        <v>-5.4199999999999998E-2</v>
      </c>
      <c r="L288" s="449">
        <f t="shared" si="149"/>
        <v>0.7843</v>
      </c>
      <c r="M288" s="449">
        <f>+IF(K85&lt;&gt;0,ROUND(M85/K85-1,4),0)</f>
        <v>-0.43859999999999999</v>
      </c>
      <c r="N288" s="449">
        <f t="shared" si="150"/>
        <v>3.0937000000000001</v>
      </c>
      <c r="O288" s="449">
        <f t="shared" si="150"/>
        <v>-0.81920000000000004</v>
      </c>
      <c r="P288" s="449">
        <f t="shared" si="150"/>
        <v>-1</v>
      </c>
      <c r="Q288" s="449">
        <f t="shared" si="150"/>
        <v>0</v>
      </c>
      <c r="R288" s="449">
        <f t="shared" si="150"/>
        <v>0</v>
      </c>
      <c r="S288" s="449">
        <f t="shared" si="150"/>
        <v>0</v>
      </c>
      <c r="T288" s="449">
        <f t="shared" si="150"/>
        <v>0</v>
      </c>
      <c r="U288" s="449">
        <f t="shared" si="150"/>
        <v>0</v>
      </c>
      <c r="V288" s="449">
        <f t="shared" si="150"/>
        <v>0</v>
      </c>
      <c r="W288" s="449">
        <f t="shared" si="150"/>
        <v>0</v>
      </c>
      <c r="X288" s="449">
        <f t="shared" si="150"/>
        <v>0</v>
      </c>
      <c r="Y288" s="449">
        <f t="shared" si="150"/>
        <v>0</v>
      </c>
      <c r="Z288" s="449">
        <f t="shared" si="150"/>
        <v>0</v>
      </c>
      <c r="AA288" s="449">
        <f t="shared" si="150"/>
        <v>0</v>
      </c>
      <c r="AB288" s="449">
        <f t="shared" si="150"/>
        <v>0</v>
      </c>
      <c r="AC288" s="449">
        <f t="shared" si="150"/>
        <v>0</v>
      </c>
      <c r="AD288" s="449">
        <f t="shared" si="150"/>
        <v>0</v>
      </c>
      <c r="AE288" s="449">
        <f t="shared" si="150"/>
        <v>0</v>
      </c>
      <c r="AF288" s="449">
        <f t="shared" si="150"/>
        <v>0</v>
      </c>
      <c r="AG288" s="449">
        <f t="shared" si="150"/>
        <v>0</v>
      </c>
      <c r="AH288" s="449">
        <f t="shared" si="150"/>
        <v>0</v>
      </c>
      <c r="AI288" s="449">
        <f t="shared" si="150"/>
        <v>0</v>
      </c>
      <c r="AJ288" s="449">
        <f t="shared" si="150"/>
        <v>0</v>
      </c>
      <c r="AK288" s="449">
        <f t="shared" si="150"/>
        <v>0</v>
      </c>
      <c r="AL288" s="449">
        <f t="shared" si="150"/>
        <v>0</v>
      </c>
      <c r="AM288" s="449">
        <f t="shared" si="150"/>
        <v>0</v>
      </c>
      <c r="AN288" s="449">
        <f t="shared" si="150"/>
        <v>0</v>
      </c>
      <c r="AO288" s="449">
        <f t="shared" si="150"/>
        <v>0</v>
      </c>
      <c r="AP288" s="449">
        <f t="shared" si="150"/>
        <v>0</v>
      </c>
      <c r="AQ288" s="449">
        <f t="shared" si="150"/>
        <v>0</v>
      </c>
      <c r="AR288" s="449">
        <f t="shared" si="150"/>
        <v>0</v>
      </c>
      <c r="AS288" s="449">
        <f t="shared" si="150"/>
        <v>0</v>
      </c>
      <c r="AT288" s="449">
        <f t="shared" si="150"/>
        <v>0</v>
      </c>
      <c r="AU288" s="449">
        <f t="shared" si="150"/>
        <v>0</v>
      </c>
      <c r="AV288" s="449">
        <f t="shared" si="150"/>
        <v>0</v>
      </c>
      <c r="AW288" s="449">
        <f t="shared" si="150"/>
        <v>0</v>
      </c>
      <c r="AX288" s="449">
        <f t="shared" si="150"/>
        <v>0</v>
      </c>
      <c r="AY288" s="449">
        <f t="shared" si="150"/>
        <v>0</v>
      </c>
      <c r="AZ288" s="449">
        <f t="shared" si="150"/>
        <v>0</v>
      </c>
      <c r="BA288" s="450">
        <f t="shared" si="150"/>
        <v>0</v>
      </c>
    </row>
    <row r="289" spans="1:53" s="246" customFormat="1" ht="24" outlineLevel="1">
      <c r="A289" s="244"/>
      <c r="B289" s="244"/>
      <c r="C289" s="65" t="s">
        <v>69</v>
      </c>
      <c r="D289" s="85"/>
      <c r="E289" s="447" t="s">
        <v>98</v>
      </c>
      <c r="F289" s="448" t="s">
        <v>27</v>
      </c>
      <c r="G289" s="449">
        <f t="shared" ref="G289:L290" si="151">+IF(F87&lt;&gt;0,ROUND(G87/F87-1,4),0)</f>
        <v>0</v>
      </c>
      <c r="H289" s="449">
        <f t="shared" si="151"/>
        <v>0</v>
      </c>
      <c r="I289" s="449">
        <f t="shared" si="151"/>
        <v>12.5943</v>
      </c>
      <c r="J289" s="449">
        <f t="shared" si="151"/>
        <v>0.1343</v>
      </c>
      <c r="K289" s="449">
        <f t="shared" si="151"/>
        <v>-0.68500000000000005</v>
      </c>
      <c r="L289" s="449">
        <f t="shared" si="151"/>
        <v>-1</v>
      </c>
      <c r="M289" s="449">
        <f>+IF(K87&lt;&gt;0,ROUND(M87/K87-1,4),0)</f>
        <v>-1</v>
      </c>
      <c r="N289" s="449">
        <f t="shared" ref="N289:BA290" si="152">+IF(M87&lt;&gt;0,ROUND(N87/M87-1,4),0)</f>
        <v>0</v>
      </c>
      <c r="O289" s="449">
        <f t="shared" si="152"/>
        <v>0</v>
      </c>
      <c r="P289" s="449">
        <f t="shared" si="152"/>
        <v>-1</v>
      </c>
      <c r="Q289" s="449">
        <f t="shared" si="152"/>
        <v>0</v>
      </c>
      <c r="R289" s="449">
        <f t="shared" si="152"/>
        <v>0</v>
      </c>
      <c r="S289" s="449">
        <f t="shared" si="152"/>
        <v>0</v>
      </c>
      <c r="T289" s="449">
        <f t="shared" si="152"/>
        <v>0</v>
      </c>
      <c r="U289" s="449">
        <f t="shared" si="152"/>
        <v>0</v>
      </c>
      <c r="V289" s="449">
        <f t="shared" si="152"/>
        <v>0</v>
      </c>
      <c r="W289" s="449">
        <f t="shared" si="152"/>
        <v>0</v>
      </c>
      <c r="X289" s="449">
        <f t="shared" si="152"/>
        <v>0</v>
      </c>
      <c r="Y289" s="449">
        <f t="shared" si="152"/>
        <v>0</v>
      </c>
      <c r="Z289" s="449">
        <f t="shared" si="152"/>
        <v>0</v>
      </c>
      <c r="AA289" s="449">
        <f t="shared" si="152"/>
        <v>0</v>
      </c>
      <c r="AB289" s="449">
        <f t="shared" si="152"/>
        <v>0</v>
      </c>
      <c r="AC289" s="449">
        <f t="shared" si="152"/>
        <v>0</v>
      </c>
      <c r="AD289" s="449">
        <f t="shared" si="152"/>
        <v>0</v>
      </c>
      <c r="AE289" s="449">
        <f t="shared" si="152"/>
        <v>0</v>
      </c>
      <c r="AF289" s="449">
        <f t="shared" si="152"/>
        <v>0</v>
      </c>
      <c r="AG289" s="449">
        <f t="shared" si="152"/>
        <v>0</v>
      </c>
      <c r="AH289" s="449">
        <f t="shared" si="152"/>
        <v>0</v>
      </c>
      <c r="AI289" s="449">
        <f t="shared" si="152"/>
        <v>0</v>
      </c>
      <c r="AJ289" s="449">
        <f t="shared" si="152"/>
        <v>0</v>
      </c>
      <c r="AK289" s="449">
        <f t="shared" si="152"/>
        <v>0</v>
      </c>
      <c r="AL289" s="449">
        <f t="shared" si="152"/>
        <v>0</v>
      </c>
      <c r="AM289" s="449">
        <f t="shared" si="152"/>
        <v>0</v>
      </c>
      <c r="AN289" s="449">
        <f t="shared" si="152"/>
        <v>0</v>
      </c>
      <c r="AO289" s="449">
        <f t="shared" si="152"/>
        <v>0</v>
      </c>
      <c r="AP289" s="449">
        <f t="shared" si="152"/>
        <v>0</v>
      </c>
      <c r="AQ289" s="449">
        <f t="shared" si="152"/>
        <v>0</v>
      </c>
      <c r="AR289" s="449">
        <f t="shared" si="152"/>
        <v>0</v>
      </c>
      <c r="AS289" s="449">
        <f t="shared" si="152"/>
        <v>0</v>
      </c>
      <c r="AT289" s="449">
        <f t="shared" si="152"/>
        <v>0</v>
      </c>
      <c r="AU289" s="449">
        <f t="shared" si="152"/>
        <v>0</v>
      </c>
      <c r="AV289" s="449">
        <f t="shared" si="152"/>
        <v>0</v>
      </c>
      <c r="AW289" s="449">
        <f t="shared" si="152"/>
        <v>0</v>
      </c>
      <c r="AX289" s="449">
        <f t="shared" si="152"/>
        <v>0</v>
      </c>
      <c r="AY289" s="449">
        <f t="shared" si="152"/>
        <v>0</v>
      </c>
      <c r="AZ289" s="449">
        <f t="shared" si="152"/>
        <v>0</v>
      </c>
      <c r="BA289" s="450">
        <f t="shared" si="152"/>
        <v>0</v>
      </c>
    </row>
    <row r="290" spans="1:53" s="246" customFormat="1" ht="24" outlineLevel="1">
      <c r="A290" s="244"/>
      <c r="B290" s="244"/>
      <c r="C290" s="58" t="s">
        <v>289</v>
      </c>
      <c r="D290" s="87"/>
      <c r="E290" s="112" t="s">
        <v>342</v>
      </c>
      <c r="F290" s="455" t="s">
        <v>27</v>
      </c>
      <c r="G290" s="456">
        <f t="shared" si="151"/>
        <v>0</v>
      </c>
      <c r="H290" s="456">
        <f t="shared" si="151"/>
        <v>0</v>
      </c>
      <c r="I290" s="456">
        <f t="shared" si="151"/>
        <v>12.5943</v>
      </c>
      <c r="J290" s="456">
        <f t="shared" si="151"/>
        <v>0.1343</v>
      </c>
      <c r="K290" s="456">
        <f t="shared" si="151"/>
        <v>-0.68500000000000005</v>
      </c>
      <c r="L290" s="456">
        <f t="shared" si="151"/>
        <v>-1</v>
      </c>
      <c r="M290" s="456">
        <f>+IF(K88&lt;&gt;0,ROUND(M88/K88-1,4),0)</f>
        <v>-1</v>
      </c>
      <c r="N290" s="456">
        <f t="shared" si="152"/>
        <v>0</v>
      </c>
      <c r="O290" s="456">
        <f t="shared" si="152"/>
        <v>0</v>
      </c>
      <c r="P290" s="456">
        <f t="shared" si="152"/>
        <v>0</v>
      </c>
      <c r="Q290" s="456">
        <f t="shared" si="152"/>
        <v>0</v>
      </c>
      <c r="R290" s="456">
        <f t="shared" si="152"/>
        <v>0</v>
      </c>
      <c r="S290" s="456">
        <f t="shared" si="152"/>
        <v>0</v>
      </c>
      <c r="T290" s="456">
        <f t="shared" si="152"/>
        <v>0</v>
      </c>
      <c r="U290" s="456">
        <f t="shared" si="152"/>
        <v>0</v>
      </c>
      <c r="V290" s="456">
        <f t="shared" si="152"/>
        <v>0</v>
      </c>
      <c r="W290" s="456">
        <f t="shared" si="152"/>
        <v>0</v>
      </c>
      <c r="X290" s="456">
        <f t="shared" si="152"/>
        <v>0</v>
      </c>
      <c r="Y290" s="456">
        <f t="shared" si="152"/>
        <v>0</v>
      </c>
      <c r="Z290" s="456">
        <f t="shared" si="152"/>
        <v>0</v>
      </c>
      <c r="AA290" s="456">
        <f t="shared" si="152"/>
        <v>0</v>
      </c>
      <c r="AB290" s="456">
        <f t="shared" si="152"/>
        <v>0</v>
      </c>
      <c r="AC290" s="456">
        <f t="shared" si="152"/>
        <v>0</v>
      </c>
      <c r="AD290" s="456">
        <f t="shared" si="152"/>
        <v>0</v>
      </c>
      <c r="AE290" s="456">
        <f t="shared" si="152"/>
        <v>0</v>
      </c>
      <c r="AF290" s="456">
        <f t="shared" si="152"/>
        <v>0</v>
      </c>
      <c r="AG290" s="456">
        <f t="shared" si="152"/>
        <v>0</v>
      </c>
      <c r="AH290" s="456">
        <f t="shared" si="152"/>
        <v>0</v>
      </c>
      <c r="AI290" s="456">
        <f t="shared" si="152"/>
        <v>0</v>
      </c>
      <c r="AJ290" s="456">
        <f t="shared" si="152"/>
        <v>0</v>
      </c>
      <c r="AK290" s="456">
        <f t="shared" si="152"/>
        <v>0</v>
      </c>
      <c r="AL290" s="456">
        <f t="shared" si="152"/>
        <v>0</v>
      </c>
      <c r="AM290" s="456">
        <f t="shared" si="152"/>
        <v>0</v>
      </c>
      <c r="AN290" s="456">
        <f t="shared" si="152"/>
        <v>0</v>
      </c>
      <c r="AO290" s="456">
        <f t="shared" si="152"/>
        <v>0</v>
      </c>
      <c r="AP290" s="456">
        <f t="shared" si="152"/>
        <v>0</v>
      </c>
      <c r="AQ290" s="456">
        <f t="shared" si="152"/>
        <v>0</v>
      </c>
      <c r="AR290" s="456">
        <f t="shared" si="152"/>
        <v>0</v>
      </c>
      <c r="AS290" s="456">
        <f t="shared" si="152"/>
        <v>0</v>
      </c>
      <c r="AT290" s="456">
        <f t="shared" si="152"/>
        <v>0</v>
      </c>
      <c r="AU290" s="456">
        <f t="shared" si="152"/>
        <v>0</v>
      </c>
      <c r="AV290" s="456">
        <f t="shared" si="152"/>
        <v>0</v>
      </c>
      <c r="AW290" s="456">
        <f t="shared" si="152"/>
        <v>0</v>
      </c>
      <c r="AX290" s="456">
        <f t="shared" si="152"/>
        <v>0</v>
      </c>
      <c r="AY290" s="456">
        <f t="shared" si="152"/>
        <v>0</v>
      </c>
      <c r="AZ290" s="456">
        <f t="shared" si="152"/>
        <v>0</v>
      </c>
      <c r="BA290" s="457">
        <f t="shared" si="152"/>
        <v>0</v>
      </c>
    </row>
    <row r="291" spans="1:53" s="246" customFormat="1">
      <c r="A291" s="244"/>
      <c r="B291" s="24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</sheetData>
  <sheetProtection formatCells="0" formatColumns="0" formatRows="0" insertColumns="0" deleteColumns="0"/>
  <autoFilter ref="A9:B9" xr:uid="{00000000-0009-0000-0000-000004000000}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 xr:uid="{FD779E4F-A865-4C8F-8A96-5BCC9389D527}"/>
    </customSheetView>
  </customSheetViews>
  <mergeCells count="2">
    <mergeCell ref="J8:K8"/>
    <mergeCell ref="J7:M7"/>
  </mergeCells>
  <conditionalFormatting sqref="N63:AP64 BA63:BA64">
    <cfRule type="expression" dxfId="44" priority="84" stopIfTrue="1">
      <formula>LEFT(N63,3)="Nie"</formula>
    </cfRule>
  </conditionalFormatting>
  <conditionalFormatting sqref="N71:AP73 BA71:BA73 BA75:BA76 N75:AP76">
    <cfRule type="cellIs" dxfId="43" priority="42" stopIfTrue="1" operator="equal">
      <formula>"Nie spełniona"</formula>
    </cfRule>
  </conditionalFormatting>
  <conditionalFormatting sqref="AQ63:AZ64">
    <cfRule type="expression" dxfId="42" priority="31" stopIfTrue="1">
      <formula>LEFT(AQ63,3)="Nie"</formula>
    </cfRule>
  </conditionalFormatting>
  <conditionalFormatting sqref="AQ71:AZ73 AQ75:AZ76">
    <cfRule type="cellIs" dxfId="41" priority="28" stopIfTrue="1" operator="equal">
      <formula>"Nie spełniona"</formula>
    </cfRule>
  </conditionalFormatting>
  <conditionalFormatting sqref="N127:BA128">
    <cfRule type="cellIs" dxfId="40" priority="16" stopIfTrue="1" operator="lessThan">
      <formula>$E$120</formula>
    </cfRule>
    <cfRule type="cellIs" dxfId="39" priority="17" stopIfTrue="1" operator="lessThan">
      <formula>$E$121</formula>
    </cfRule>
    <cfRule type="cellIs" dxfId="38" priority="18" stopIfTrue="1" operator="lessThan">
      <formula>$E$122</formula>
    </cfRule>
  </conditionalFormatting>
  <conditionalFormatting sqref="N123:BA124">
    <cfRule type="cellIs" dxfId="37" priority="13" stopIfTrue="1" operator="lessThan">
      <formula>$E$120</formula>
    </cfRule>
    <cfRule type="cellIs" dxfId="36" priority="14" stopIfTrue="1" operator="lessThan">
      <formula>$E$121</formula>
    </cfRule>
    <cfRule type="cellIs" dxfId="35" priority="15" stopIfTrue="1" operator="lessThan">
      <formula>$E$122</formula>
    </cfRule>
  </conditionalFormatting>
  <conditionalFormatting sqref="G266:BA290">
    <cfRule type="cellIs" dxfId="34" priority="10" stopIfTrue="1" operator="notBetween">
      <formula>-$E$265</formula>
      <formula>$E$265</formula>
    </cfRule>
    <cfRule type="cellIs" dxfId="33" priority="11" stopIfTrue="1" operator="notBetween">
      <formula>-$E$264</formula>
      <formula>$E$264</formula>
    </cfRule>
    <cfRule type="cellIs" dxfId="32" priority="12" stopIfTrue="1" operator="notBetween">
      <formula>-$E$263</formula>
      <formula>$E$263</formula>
    </cfRule>
  </conditionalFormatting>
  <conditionalFormatting sqref="N141:BA143">
    <cfRule type="containsText" dxfId="31" priority="9" stopIfTrue="1" operator="containsText" text="BŁĄD">
      <formula>NOT(ISERROR(SEARCH("BŁĄD",N141)))</formula>
    </cfRule>
  </conditionalFormatting>
  <conditionalFormatting sqref="N147:BA177">
    <cfRule type="containsText" dxfId="30" priority="8" stopIfTrue="1" operator="containsText" text="BŁĄD">
      <formula>NOT(ISERROR(SEARCH("BŁĄD",N147)))</formula>
    </cfRule>
  </conditionalFormatting>
  <conditionalFormatting sqref="N181:BA193">
    <cfRule type="containsText" dxfId="29" priority="7" stopIfTrue="1" operator="containsText" text="BŁĄD">
      <formula>NOT(ISERROR(SEARCH("BŁĄD",N181)))</formula>
    </cfRule>
  </conditionalFormatting>
  <conditionalFormatting sqref="N74:AP74 BA74">
    <cfRule type="cellIs" dxfId="28" priority="6" stopIfTrue="1" operator="equal">
      <formula>"Nie spełniona"</formula>
    </cfRule>
  </conditionalFormatting>
  <conditionalFormatting sqref="AQ74:AZ74">
    <cfRule type="cellIs" dxfId="27" priority="5" stopIfTrue="1" operator="equal">
      <formula>"Nie spełniona"</formula>
    </cfRule>
  </conditionalFormatting>
  <conditionalFormatting sqref="N196:BA196">
    <cfRule type="cellIs" dxfId="26" priority="85" stopIfTrue="1" operator="lessThanOrEqual">
      <formula>#REF!</formula>
    </cfRule>
  </conditionalFormatting>
  <conditionalFormatting sqref="N215:BA215">
    <cfRule type="cellIs" dxfId="25" priority="3" stopIfTrue="1" operator="lessThanOrEqual">
      <formula>#REF!</formula>
    </cfRule>
  </conditionalFormatting>
  <conditionalFormatting sqref="N249:BA249">
    <cfRule type="cellIs" dxfId="24" priority="2" stopIfTrue="1" operator="lessThanOrEqual">
      <formula>#REF!</formula>
    </cfRule>
  </conditionalFormatting>
  <conditionalFormatting sqref="N265:BA265">
    <cfRule type="cellIs" dxfId="23" priority="1" stopIfTrue="1" operator="lessThanOrEqual">
      <formula>#REF!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52" fitToHeight="3" orientation="landscape" blackAndWhite="1" horizontalDpi="4294967293" verticalDpi="4294967293" r:id="rId2"/>
  <headerFooter>
    <oddFooter>&amp;L&amp;"Czcionka tekstu podstawowego,Pogrubiony"&amp;8WPF bazowy (podstawa symulacji)&amp;C&amp;8&amp;A&amp;R&amp;8Strona &amp;P z &amp;N</oddFooter>
  </headerFooter>
  <rowBreaks count="2" manualBreakCount="2">
    <brk id="56" min="9" max="52" man="1"/>
    <brk id="76" min="9" max="52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3">
    <tabColor rgb="FF00B0F0"/>
    <outlinePr summaryRight="0"/>
  </sheetPr>
  <dimension ref="A1:AF108"/>
  <sheetViews>
    <sheetView zoomScaleNormal="100" workbookViewId="0">
      <pane ySplit="2" topLeftCell="A3" activePane="bottomLeft" state="frozen"/>
      <selection activeCell="N3" sqref="M3:N3"/>
      <selection pane="bottomLeft" activeCell="A3" sqref="A3"/>
    </sheetView>
  </sheetViews>
  <sheetFormatPr defaultRowHeight="14.25" outlineLevelRow="1" outlineLevelCol="1"/>
  <cols>
    <col min="1" max="1" width="2.75" style="246" customWidth="1"/>
    <col min="2" max="8" width="8.75" customWidth="1" outlineLevel="1"/>
    <col min="9" max="9" width="2.75" style="246" customWidth="1"/>
    <col min="10" max="16" width="8.75" customWidth="1" outlineLevel="1"/>
    <col min="17" max="17" width="2.75" customWidth="1"/>
    <col min="18" max="24" width="8.75" style="246" customWidth="1" outlineLevel="1"/>
    <col min="25" max="25" width="2.75" style="246" customWidth="1"/>
    <col min="26" max="32" width="8.75" style="246" customWidth="1" outlineLevel="1"/>
  </cols>
  <sheetData>
    <row r="1" spans="2:27" s="246" customFormat="1" ht="15">
      <c r="B1" s="38" t="str">
        <f>WPF_bazowy!E5&amp;" - "&amp;"WPF za lata "&amp;WPF_bazowy!E6&amp;" - Nr Uchwały JST: "&amp;WPF_bazowy!E4&amp;" [ver: "&amp;WPF_bazowy!E7&amp;"]"</f>
        <v>średzki - WPF za lata 2022 - 2033 - Nr Uchwały JST: 20220216_zmianaWPF_v2 [ver: 0]</v>
      </c>
      <c r="R1" s="247" t="str">
        <f>"Na podstawie: "&amp;WPF_bazowy!E5&amp;" - "&amp;"WPF za lata "&amp;WPF_bazowy!E6&amp;" - Nr Uchwały JST: "&amp;WPF_bazowy!E4&amp;" [ver: "&amp;WPF_bazowy!E7&amp;"]"</f>
        <v>Na podstawie: średzki - WPF za lata 2022 - 2033 - Nr Uchwały JST: 20220216_zmianaWPF_v2 [ver: 0]</v>
      </c>
    </row>
    <row r="2" spans="2:27" ht="15">
      <c r="B2" s="249" t="s">
        <v>540</v>
      </c>
      <c r="J2" s="249" t="s">
        <v>540</v>
      </c>
      <c r="K2" s="246"/>
      <c r="L2" s="246"/>
      <c r="M2" s="246"/>
      <c r="N2" s="246"/>
      <c r="O2" s="246"/>
      <c r="R2" s="247" t="s">
        <v>722</v>
      </c>
      <c r="Z2" s="247" t="s">
        <v>722</v>
      </c>
      <c r="AA2" s="38"/>
    </row>
    <row r="3" spans="2:27" outlineLevel="1"/>
    <row r="4" spans="2:27" outlineLevel="1"/>
    <row r="5" spans="2:27" outlineLevel="1"/>
    <row r="6" spans="2:27" outlineLevel="1"/>
    <row r="7" spans="2:27" outlineLevel="1"/>
    <row r="8" spans="2:27" outlineLevel="1"/>
    <row r="9" spans="2:27" outlineLevel="1"/>
    <row r="10" spans="2:27" outlineLevel="1"/>
    <row r="11" spans="2:27" outlineLevel="1"/>
    <row r="12" spans="2:27" outlineLevel="1"/>
    <row r="13" spans="2:27" outlineLevel="1"/>
    <row r="14" spans="2:27" outlineLevel="1"/>
    <row r="15" spans="2:27" outlineLevel="1"/>
    <row r="16" spans="2:27" outlineLevel="1"/>
    <row r="17" outlineLevel="1"/>
    <row r="18" outlineLevel="1"/>
    <row r="19" outlineLevel="1"/>
    <row r="20" outlineLevel="1"/>
    <row r="21" outlineLevel="1"/>
    <row r="22" outlineLevel="1"/>
    <row r="23" outlineLevel="1"/>
    <row r="24" outlineLevel="1"/>
    <row r="25" outlineLevel="1"/>
    <row r="26" outlineLevel="1"/>
    <row r="27" outlineLevel="1"/>
    <row r="28" outlineLevel="1"/>
    <row r="29" outlineLevel="1"/>
    <row r="30" outlineLevel="1"/>
    <row r="31" outlineLevel="1"/>
    <row r="32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91" spans="3:27" ht="15">
      <c r="C91" s="3" t="s">
        <v>30</v>
      </c>
      <c r="K91" s="3" t="s">
        <v>31</v>
      </c>
      <c r="S91" s="247" t="s">
        <v>30</v>
      </c>
      <c r="AA91" s="247" t="s">
        <v>31</v>
      </c>
    </row>
    <row r="108" spans="3:27" ht="15">
      <c r="C108" s="3"/>
      <c r="K108" s="3"/>
      <c r="S108" s="247"/>
      <c r="AA108" s="247"/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2019-11-03a&amp;C&amp;"Czcionka tekstu podstawowego,Kursywa"&amp;9Strona &amp;P z &amp;N</oddFooter>
  </headerFooter>
  <rowBreaks count="2" manualBreakCount="2">
    <brk id="74" max="16383" man="1"/>
    <brk id="90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FF0000"/>
    <outlinePr summaryBelow="0"/>
  </sheetPr>
  <dimension ref="A1:BB291"/>
  <sheetViews>
    <sheetView showZeros="0" tabSelected="1" zoomScale="90" zoomScaleNormal="90" zoomScaleSheetLayoutView="100" workbookViewId="0">
      <pane xSplit="5" ySplit="9" topLeftCell="M325" activePane="bottomRight" state="frozen"/>
      <selection activeCell="H31" sqref="H31"/>
      <selection pane="topRight" activeCell="H31" sqref="H31"/>
      <selection pane="bottomLeft" activeCell="H31" sqref="H31"/>
      <selection pane="bottomRight" activeCell="M10" sqref="M10"/>
    </sheetView>
  </sheetViews>
  <sheetFormatPr defaultColWidth="8.75" defaultRowHeight="14.25" outlineLevelRow="5" outlineLevelCol="2"/>
  <cols>
    <col min="1" max="1" width="4.25" style="127" hidden="1" customWidth="1" outlineLevel="1"/>
    <col min="2" max="2" width="4.25" style="238" hidden="1" customWidth="1" outlineLevel="1"/>
    <col min="3" max="3" width="6.625" style="129" customWidth="1" collapsed="1"/>
    <col min="4" max="4" width="30.25" style="132" hidden="1" customWidth="1" outlineLevel="1"/>
    <col min="5" max="5" width="70.75" style="129" customWidth="1" collapsed="1"/>
    <col min="6" max="9" width="13.25" style="129" hidden="1" customWidth="1" outlineLevel="2"/>
    <col min="10" max="10" width="13.25" style="129" hidden="1" customWidth="1" outlineLevel="1" collapsed="1"/>
    <col min="11" max="12" width="13.25" style="129" hidden="1" customWidth="1" outlineLevel="1"/>
    <col min="13" max="13" width="13.25" style="129" customWidth="1" collapsed="1"/>
    <col min="14" max="17" width="13.25" style="129" customWidth="1"/>
    <col min="18" max="53" width="13.25" style="129" customWidth="1" outlineLevel="1"/>
    <col min="54" max="16384" width="8.75" style="128"/>
  </cols>
  <sheetData>
    <row r="1" spans="1:54">
      <c r="C1" s="469"/>
      <c r="D1" s="469"/>
      <c r="E1" s="470" t="s">
        <v>452</v>
      </c>
      <c r="F1" s="470"/>
      <c r="G1" s="470"/>
      <c r="H1" s="470"/>
      <c r="I1" s="470"/>
      <c r="N1" s="130" t="s">
        <v>711</v>
      </c>
      <c r="Q1" s="195">
        <f>+RokMaxProg</f>
        <v>2033</v>
      </c>
      <c r="R1" s="502" t="s">
        <v>712</v>
      </c>
    </row>
    <row r="2" spans="1:54" ht="15">
      <c r="C2" s="1"/>
      <c r="D2" s="471"/>
      <c r="E2" s="510" t="str">
        <f>WPF_bazowy!E5&amp;" - "&amp;"WPF za lata "&amp;WPF_bazowy!E6&amp;" - Nr Uchwały JST: "&amp;WPF_bazowy!E4&amp;" [ver: "&amp;WPF_bazowy!E7&amp;"]"&amp;IF(Srednia=0," /średnia 3-letnia/"," /średnia 7-letnia/")</f>
        <v>średzki - WPF za lata 2022 - 2033 - Nr Uchwały JST: 20220216_zmianaWPF_v2 [ver: 0] /średnia 7-letnia/</v>
      </c>
      <c r="F2" s="472"/>
      <c r="G2" s="472"/>
      <c r="H2" s="472"/>
      <c r="I2" s="472"/>
      <c r="N2" s="130" t="s">
        <v>450</v>
      </c>
    </row>
    <row r="3" spans="1:54" outlineLevel="1">
      <c r="C3" s="469"/>
      <c r="D3" s="246"/>
      <c r="E3" s="1"/>
      <c r="F3" s="1"/>
      <c r="G3" s="1"/>
      <c r="H3" s="1"/>
      <c r="I3" s="1"/>
      <c r="N3" s="280" t="s">
        <v>551</v>
      </c>
      <c r="O3" s="131"/>
      <c r="P3" s="131"/>
      <c r="Q3" s="131"/>
      <c r="R3" s="131"/>
    </row>
    <row r="4" spans="1:54" ht="15" outlineLevel="1">
      <c r="C4" s="469"/>
      <c r="D4" s="1"/>
      <c r="E4" s="540" t="s">
        <v>741</v>
      </c>
      <c r="N4" s="281" t="s">
        <v>451</v>
      </c>
      <c r="O4" s="133"/>
      <c r="P4" s="133"/>
      <c r="Q4" s="133"/>
      <c r="R4" s="133"/>
    </row>
    <row r="5" spans="1:54" outlineLevel="1">
      <c r="C5" s="1"/>
      <c r="D5" s="473"/>
      <c r="J5" s="134"/>
      <c r="K5" s="135"/>
      <c r="L5" s="136"/>
      <c r="M5" s="134"/>
      <c r="N5" s="282" t="s">
        <v>552</v>
      </c>
      <c r="O5" s="137"/>
      <c r="P5" s="137"/>
      <c r="Q5" s="137"/>
      <c r="R5" s="137"/>
      <c r="T5" s="138"/>
    </row>
    <row r="6" spans="1:54" outlineLevel="1">
      <c r="C6" s="474"/>
      <c r="D6" s="475"/>
      <c r="E6" s="500"/>
      <c r="F6" s="500"/>
      <c r="G6" s="500"/>
      <c r="H6" s="500"/>
      <c r="I6" s="500"/>
      <c r="N6" s="283" t="s">
        <v>726</v>
      </c>
      <c r="O6" s="139"/>
      <c r="P6" s="139"/>
      <c r="Q6" s="139"/>
      <c r="R6" s="139"/>
      <c r="T6" s="138"/>
    </row>
    <row r="7" spans="1:54" ht="15">
      <c r="C7" s="474"/>
      <c r="D7" s="477"/>
      <c r="E7" s="476"/>
      <c r="F7" s="476"/>
      <c r="G7" s="476"/>
      <c r="H7" s="476"/>
      <c r="I7" s="476"/>
      <c r="J7" s="530"/>
      <c r="K7" s="530"/>
      <c r="L7" s="530"/>
      <c r="M7" s="531" t="str">
        <f>+IF(ROUND(M11-SUM(M12:M16),2)=0,"","W (N-1) poz. 1.1 nie jest sumą 1.1.1 do 1.1.5. Poz. 8.3.1 będzie nieprawidłowa")</f>
        <v/>
      </c>
      <c r="N7" s="532" t="str">
        <f>+IF(ROUND(SUMSQ(Symulacja!F4:AQ41)&lt;&gt;0,4),"Wprowadzono dane w arkuszu 'Symulacja'. Nie edytuj formuł w komórkach z niebieskim tłem","")</f>
        <v/>
      </c>
      <c r="O7" s="526"/>
      <c r="P7" s="527"/>
      <c r="Q7" s="526"/>
      <c r="R7" s="526"/>
    </row>
    <row r="8" spans="1:54" ht="15.75">
      <c r="E8" s="493" t="s">
        <v>700</v>
      </c>
      <c r="F8" s="493"/>
      <c r="G8" s="493"/>
      <c r="H8" s="493"/>
      <c r="I8" s="493"/>
      <c r="J8" s="550" t="s">
        <v>161</v>
      </c>
      <c r="K8" s="550"/>
      <c r="L8" s="140" t="s">
        <v>160</v>
      </c>
      <c r="M8" s="140" t="s">
        <v>161</v>
      </c>
      <c r="N8" s="141"/>
      <c r="O8" s="142"/>
      <c r="P8" s="142"/>
      <c r="Q8" s="142"/>
      <c r="R8" s="142"/>
    </row>
    <row r="9" spans="1:54">
      <c r="A9" s="143" t="s">
        <v>165</v>
      </c>
      <c r="B9" s="239" t="s">
        <v>529</v>
      </c>
      <c r="C9" s="144" t="s">
        <v>0</v>
      </c>
      <c r="D9" s="145" t="s">
        <v>713</v>
      </c>
      <c r="E9" s="146" t="s">
        <v>1</v>
      </c>
      <c r="F9" s="147">
        <f t="shared" ref="F9:K9" si="0">+G9-1</f>
        <v>2015</v>
      </c>
      <c r="G9" s="147">
        <f t="shared" si="0"/>
        <v>2016</v>
      </c>
      <c r="H9" s="147">
        <f t="shared" si="0"/>
        <v>2017</v>
      </c>
      <c r="I9" s="147">
        <f t="shared" si="0"/>
        <v>2018</v>
      </c>
      <c r="J9" s="147">
        <f t="shared" si="0"/>
        <v>2019</v>
      </c>
      <c r="K9" s="148">
        <f t="shared" si="0"/>
        <v>2020</v>
      </c>
      <c r="L9" s="148">
        <f>+M9</f>
        <v>2021</v>
      </c>
      <c r="M9" s="149">
        <f>+N9-1</f>
        <v>2021</v>
      </c>
      <c r="N9" s="150">
        <f>+DaneZrodlowe!$N$1</f>
        <v>2022</v>
      </c>
      <c r="O9" s="151">
        <f>+N9+1</f>
        <v>2023</v>
      </c>
      <c r="P9" s="151">
        <f t="shared" ref="P9:X9" si="1">+O9+1</f>
        <v>2024</v>
      </c>
      <c r="Q9" s="151">
        <f t="shared" si="1"/>
        <v>2025</v>
      </c>
      <c r="R9" s="151">
        <f t="shared" si="1"/>
        <v>2026</v>
      </c>
      <c r="S9" s="151">
        <f t="shared" si="1"/>
        <v>2027</v>
      </c>
      <c r="T9" s="151">
        <f t="shared" si="1"/>
        <v>2028</v>
      </c>
      <c r="U9" s="151">
        <f t="shared" si="1"/>
        <v>2029</v>
      </c>
      <c r="V9" s="151">
        <f t="shared" si="1"/>
        <v>2030</v>
      </c>
      <c r="W9" s="151">
        <f t="shared" si="1"/>
        <v>2031</v>
      </c>
      <c r="X9" s="151">
        <f t="shared" si="1"/>
        <v>2032</v>
      </c>
      <c r="Y9" s="151">
        <f t="shared" ref="Y9:BA9" si="2">+X9+1</f>
        <v>2033</v>
      </c>
      <c r="Z9" s="151">
        <f t="shared" si="2"/>
        <v>2034</v>
      </c>
      <c r="AA9" s="151">
        <f t="shared" si="2"/>
        <v>2035</v>
      </c>
      <c r="AB9" s="151">
        <f t="shared" si="2"/>
        <v>2036</v>
      </c>
      <c r="AC9" s="151">
        <f t="shared" si="2"/>
        <v>2037</v>
      </c>
      <c r="AD9" s="151">
        <f t="shared" si="2"/>
        <v>2038</v>
      </c>
      <c r="AE9" s="151">
        <f t="shared" si="2"/>
        <v>2039</v>
      </c>
      <c r="AF9" s="151">
        <f t="shared" si="2"/>
        <v>2040</v>
      </c>
      <c r="AG9" s="151">
        <f t="shared" si="2"/>
        <v>2041</v>
      </c>
      <c r="AH9" s="151">
        <f t="shared" si="2"/>
        <v>2042</v>
      </c>
      <c r="AI9" s="151">
        <f t="shared" si="2"/>
        <v>2043</v>
      </c>
      <c r="AJ9" s="151">
        <f t="shared" si="2"/>
        <v>2044</v>
      </c>
      <c r="AK9" s="151">
        <f t="shared" si="2"/>
        <v>2045</v>
      </c>
      <c r="AL9" s="151">
        <f t="shared" si="2"/>
        <v>2046</v>
      </c>
      <c r="AM9" s="151">
        <f t="shared" si="2"/>
        <v>2047</v>
      </c>
      <c r="AN9" s="151">
        <f t="shared" si="2"/>
        <v>2048</v>
      </c>
      <c r="AO9" s="151">
        <f t="shared" si="2"/>
        <v>2049</v>
      </c>
      <c r="AP9" s="151">
        <f t="shared" si="2"/>
        <v>2050</v>
      </c>
      <c r="AQ9" s="151">
        <f t="shared" si="2"/>
        <v>2051</v>
      </c>
      <c r="AR9" s="151">
        <f t="shared" si="2"/>
        <v>2052</v>
      </c>
      <c r="AS9" s="151">
        <f t="shared" si="2"/>
        <v>2053</v>
      </c>
      <c r="AT9" s="151">
        <f t="shared" si="2"/>
        <v>2054</v>
      </c>
      <c r="AU9" s="151">
        <f t="shared" si="2"/>
        <v>2055</v>
      </c>
      <c r="AV9" s="151">
        <f t="shared" si="2"/>
        <v>2056</v>
      </c>
      <c r="AW9" s="151">
        <f t="shared" si="2"/>
        <v>2057</v>
      </c>
      <c r="AX9" s="151">
        <f t="shared" si="2"/>
        <v>2058</v>
      </c>
      <c r="AY9" s="151">
        <f t="shared" si="2"/>
        <v>2059</v>
      </c>
      <c r="AZ9" s="151">
        <f t="shared" si="2"/>
        <v>2060</v>
      </c>
      <c r="BA9" s="151">
        <f t="shared" si="2"/>
        <v>2061</v>
      </c>
      <c r="BB9" s="152"/>
    </row>
    <row r="10" spans="1:54" ht="15">
      <c r="A10" s="127" t="s">
        <v>27</v>
      </c>
      <c r="B10" s="238" t="s">
        <v>27</v>
      </c>
      <c r="C10" s="155">
        <v>1</v>
      </c>
      <c r="D10" s="156"/>
      <c r="E10" s="218" t="s">
        <v>23</v>
      </c>
      <c r="F10" s="164">
        <f>+WPF_bazowy!F10+Symulacja!F5+Symulacja!F6+Symulacja!F7+Symulacja!F8+Symulacja!F11</f>
        <v>37654560.880000003</v>
      </c>
      <c r="G10" s="164">
        <f>+WPF_bazowy!G10+Symulacja!G5+Symulacja!G6+Symulacja!G7+Symulacja!G8+Symulacja!G11</f>
        <v>42577701.219999999</v>
      </c>
      <c r="H10" s="164">
        <f>+WPF_bazowy!H10+Symulacja!H5+Symulacja!H6+Symulacja!H7+Symulacja!H8+Symulacja!H11</f>
        <v>42272095.82</v>
      </c>
      <c r="I10" s="164">
        <f>+WPF_bazowy!I10+Symulacja!I5+Symulacja!I6+Symulacja!I7+Symulacja!I8+Symulacja!I11</f>
        <v>49704674.329999998</v>
      </c>
      <c r="J10" s="164">
        <f>+WPF_bazowy!J10+Symulacja!J5+Symulacja!J6+Symulacja!J7+Symulacja!J8+Symulacja!J11</f>
        <v>58761132.340000004</v>
      </c>
      <c r="K10" s="165">
        <f>+WPF_bazowy!K10+Symulacja!K5+Symulacja!K6+Symulacja!K7+Symulacja!K8+Symulacja!K11</f>
        <v>62485802.079999998</v>
      </c>
      <c r="L10" s="165">
        <f>+WPF_bazowy!L10+Symulacja!L5+Symulacja!L6+Symulacja!L7+Symulacja!L8+Symulacja!L11</f>
        <v>55356292.649999999</v>
      </c>
      <c r="M10" s="159">
        <f>+ROUND(M11+M18,2)</f>
        <v>67688312.060000002</v>
      </c>
      <c r="N10" s="160">
        <f>+ROUND(N11+N18,2)</f>
        <v>60726395</v>
      </c>
      <c r="O10" s="161">
        <f>+ROUND(O11+O18,2)</f>
        <v>73658346</v>
      </c>
      <c r="P10" s="161">
        <f>+ROUND(P11+P18,2)</f>
        <v>53707637</v>
      </c>
      <c r="Q10" s="161">
        <f t="shared" ref="Q10:X10" si="3">+ROUND(Q11+Q18,2)</f>
        <v>55569905</v>
      </c>
      <c r="R10" s="161">
        <f t="shared" si="3"/>
        <v>57497351</v>
      </c>
      <c r="S10" s="161">
        <f t="shared" si="3"/>
        <v>59435260</v>
      </c>
      <c r="T10" s="161">
        <f t="shared" si="3"/>
        <v>61380124</v>
      </c>
      <c r="U10" s="161">
        <f t="shared" si="3"/>
        <v>63267408</v>
      </c>
      <c r="V10" s="161">
        <f t="shared" si="3"/>
        <v>65087663</v>
      </c>
      <c r="W10" s="161">
        <f t="shared" si="3"/>
        <v>66896118</v>
      </c>
      <c r="X10" s="161">
        <f t="shared" si="3"/>
        <v>68188813</v>
      </c>
      <c r="Y10" s="161">
        <f t="shared" ref="Y10:BA10" si="4">+ROUND(Y11+Y18,2)</f>
        <v>69961722</v>
      </c>
      <c r="Z10" s="161">
        <f t="shared" si="4"/>
        <v>0</v>
      </c>
      <c r="AA10" s="161">
        <f t="shared" si="4"/>
        <v>0</v>
      </c>
      <c r="AB10" s="161">
        <f t="shared" si="4"/>
        <v>0</v>
      </c>
      <c r="AC10" s="161">
        <f t="shared" si="4"/>
        <v>0</v>
      </c>
      <c r="AD10" s="161">
        <f t="shared" si="4"/>
        <v>0</v>
      </c>
      <c r="AE10" s="161">
        <f t="shared" si="4"/>
        <v>0</v>
      </c>
      <c r="AF10" s="161">
        <f t="shared" si="4"/>
        <v>0</v>
      </c>
      <c r="AG10" s="161">
        <f t="shared" si="4"/>
        <v>0</v>
      </c>
      <c r="AH10" s="161">
        <f t="shared" si="4"/>
        <v>0</v>
      </c>
      <c r="AI10" s="161">
        <f t="shared" si="4"/>
        <v>0</v>
      </c>
      <c r="AJ10" s="161">
        <f t="shared" si="4"/>
        <v>0</v>
      </c>
      <c r="AK10" s="161">
        <f t="shared" si="4"/>
        <v>0</v>
      </c>
      <c r="AL10" s="161">
        <f t="shared" si="4"/>
        <v>0</v>
      </c>
      <c r="AM10" s="161">
        <f t="shared" si="4"/>
        <v>0</v>
      </c>
      <c r="AN10" s="161">
        <f t="shared" si="4"/>
        <v>0</v>
      </c>
      <c r="AO10" s="161">
        <f t="shared" si="4"/>
        <v>0</v>
      </c>
      <c r="AP10" s="161">
        <f t="shared" si="4"/>
        <v>0</v>
      </c>
      <c r="AQ10" s="161">
        <f t="shared" si="4"/>
        <v>0</v>
      </c>
      <c r="AR10" s="161">
        <f t="shared" si="4"/>
        <v>0</v>
      </c>
      <c r="AS10" s="161">
        <f t="shared" si="4"/>
        <v>0</v>
      </c>
      <c r="AT10" s="161">
        <f t="shared" si="4"/>
        <v>0</v>
      </c>
      <c r="AU10" s="161">
        <f t="shared" si="4"/>
        <v>0</v>
      </c>
      <c r="AV10" s="161">
        <f t="shared" si="4"/>
        <v>0</v>
      </c>
      <c r="AW10" s="161">
        <f t="shared" si="4"/>
        <v>0</v>
      </c>
      <c r="AX10" s="161">
        <f t="shared" si="4"/>
        <v>0</v>
      </c>
      <c r="AY10" s="161">
        <f t="shared" si="4"/>
        <v>0</v>
      </c>
      <c r="AZ10" s="161">
        <f t="shared" si="4"/>
        <v>0</v>
      </c>
      <c r="BA10" s="159">
        <f t="shared" si="4"/>
        <v>0</v>
      </c>
      <c r="BB10" s="153"/>
    </row>
    <row r="11" spans="1:54" outlineLevel="1">
      <c r="A11" s="127" t="s">
        <v>27</v>
      </c>
      <c r="B11" s="238" t="s">
        <v>27</v>
      </c>
      <c r="C11" s="162" t="s">
        <v>51</v>
      </c>
      <c r="D11" s="163" t="s">
        <v>357</v>
      </c>
      <c r="E11" s="234" t="s">
        <v>313</v>
      </c>
      <c r="F11" s="164">
        <f>+WPF_bazowy!F11+Symulacja!F5+Symulacja!F6+Symulacja!F7</f>
        <v>33984961.729999997</v>
      </c>
      <c r="G11" s="164">
        <f>+WPF_bazowy!G11+Symulacja!G5+Symulacja!G6+Symulacja!G7</f>
        <v>36520043.200000003</v>
      </c>
      <c r="H11" s="164">
        <f>+WPF_bazowy!H11+Symulacja!H5+Symulacja!H6+Symulacja!H7</f>
        <v>38046848.75</v>
      </c>
      <c r="I11" s="164">
        <f>+WPF_bazowy!I11+Symulacja!I5+Symulacja!I6+Symulacja!I7</f>
        <v>40475097.799999997</v>
      </c>
      <c r="J11" s="164">
        <f>+WPF_bazowy!J11+Symulacja!J5+Symulacja!J6+Symulacja!J7</f>
        <v>45325239.009999998</v>
      </c>
      <c r="K11" s="165">
        <f>+WPF_bazowy!K11+Symulacja!K5+Symulacja!K6+Symulacja!K7</f>
        <v>47884637.420000002</v>
      </c>
      <c r="L11" s="165">
        <f>+WPF_bazowy!L11+Symulacja!L5+Symulacja!L6+Symulacja!L7</f>
        <v>49756342.649999999</v>
      </c>
      <c r="M11" s="166">
        <f>+ROUND(WPF_bazowy!M11+SUM(Symulacja!M5:M7),2)</f>
        <v>56377305</v>
      </c>
      <c r="N11" s="167">
        <f>+ROUND(SUM(N12:N16),2)</f>
        <v>49912310</v>
      </c>
      <c r="O11" s="168">
        <f>+ROUND(SUM(O12:O16),2)</f>
        <v>51408346</v>
      </c>
      <c r="P11" s="168">
        <f>+ROUND(SUM(P12:P16),2)</f>
        <v>53207637</v>
      </c>
      <c r="Q11" s="168">
        <f>+ROUND(SUM(Q12:Q16),2)</f>
        <v>55069905</v>
      </c>
      <c r="R11" s="252">
        <f>+WPF_bazowy!R11+Symulacja!R5+Symulacja!R6+Symulacja!R7</f>
        <v>56997351</v>
      </c>
      <c r="S11" s="252">
        <f>+WPF_bazowy!S11+Symulacja!S5+Symulacja!S6+Symulacja!S7</f>
        <v>58935260</v>
      </c>
      <c r="T11" s="252">
        <f>+WPF_bazowy!T11+Symulacja!T5+Symulacja!T6+Symulacja!T7</f>
        <v>60880124</v>
      </c>
      <c r="U11" s="252">
        <f>+WPF_bazowy!U11+Symulacja!U5+Symulacja!U6+Symulacja!U7</f>
        <v>62767408</v>
      </c>
      <c r="V11" s="252">
        <f>+WPF_bazowy!V11+Symulacja!V5+Symulacja!V6+Symulacja!V7</f>
        <v>64587663</v>
      </c>
      <c r="W11" s="252">
        <f>+WPF_bazowy!W11+Symulacja!W5+Symulacja!W6+Symulacja!W7</f>
        <v>66396118</v>
      </c>
      <c r="X11" s="252">
        <f>+WPF_bazowy!X11+Symulacja!X5+Symulacja!X6+Symulacja!X7</f>
        <v>68188813</v>
      </c>
      <c r="Y11" s="252">
        <f>+WPF_bazowy!Y11+Symulacja!Y5+Symulacja!Y6+Symulacja!Y7</f>
        <v>69961722</v>
      </c>
      <c r="Z11" s="252">
        <f>+WPF_bazowy!Z11+Symulacja!Z5+Symulacja!Z6+Symulacja!Z7</f>
        <v>0</v>
      </c>
      <c r="AA11" s="252">
        <f>+WPF_bazowy!AA11+Symulacja!AA5+Symulacja!AA6+Symulacja!AA7</f>
        <v>0</v>
      </c>
      <c r="AB11" s="252">
        <f>+WPF_bazowy!AB11+Symulacja!AB5+Symulacja!AB6+Symulacja!AB7</f>
        <v>0</v>
      </c>
      <c r="AC11" s="252">
        <f>+WPF_bazowy!AC11+Symulacja!AC5+Symulacja!AC6+Symulacja!AC7</f>
        <v>0</v>
      </c>
      <c r="AD11" s="252">
        <f>+WPF_bazowy!AD11+Symulacja!AD5+Symulacja!AD6+Symulacja!AD7</f>
        <v>0</v>
      </c>
      <c r="AE11" s="252">
        <f>+WPF_bazowy!AE11+Symulacja!AE5+Symulacja!AE6+Symulacja!AE7</f>
        <v>0</v>
      </c>
      <c r="AF11" s="252">
        <f>+WPF_bazowy!AF11+Symulacja!AF5+Symulacja!AF6+Symulacja!AF7</f>
        <v>0</v>
      </c>
      <c r="AG11" s="252">
        <f>+WPF_bazowy!AG11+Symulacja!AG5+Symulacja!AG6+Symulacja!AG7</f>
        <v>0</v>
      </c>
      <c r="AH11" s="252">
        <f>+WPF_bazowy!AH11+Symulacja!AH5+Symulacja!AH6+Symulacja!AH7</f>
        <v>0</v>
      </c>
      <c r="AI11" s="252">
        <f>+WPF_bazowy!AI11+Symulacja!AI5+Symulacja!AI6+Symulacja!AI7</f>
        <v>0</v>
      </c>
      <c r="AJ11" s="252">
        <f>+WPF_bazowy!AJ11+Symulacja!AJ5+Symulacja!AJ6+Symulacja!AJ7</f>
        <v>0</v>
      </c>
      <c r="AK11" s="252">
        <f>+WPF_bazowy!AK11+Symulacja!AK5+Symulacja!AK6+Symulacja!AK7</f>
        <v>0</v>
      </c>
      <c r="AL11" s="252">
        <f>+WPF_bazowy!AL11+Symulacja!AL5+Symulacja!AL6+Symulacja!AL7</f>
        <v>0</v>
      </c>
      <c r="AM11" s="252">
        <f>+WPF_bazowy!AM11+Symulacja!AM5+Symulacja!AM6+Symulacja!AM7</f>
        <v>0</v>
      </c>
      <c r="AN11" s="252">
        <f>+WPF_bazowy!AN11+Symulacja!AN5+Symulacja!AN6+Symulacja!AN7</f>
        <v>0</v>
      </c>
      <c r="AO11" s="252">
        <f>+WPF_bazowy!AO11+Symulacja!AO5+Symulacja!AO6+Symulacja!AO7</f>
        <v>0</v>
      </c>
      <c r="AP11" s="252">
        <f>+WPF_bazowy!AP11+Symulacja!AP5+Symulacja!AP6+Symulacja!AP7</f>
        <v>0</v>
      </c>
      <c r="AQ11" s="252">
        <f>+WPF_bazowy!AQ11+Symulacja!AQ5+Symulacja!AQ6+Symulacja!AQ7</f>
        <v>0</v>
      </c>
      <c r="AR11" s="252">
        <f>+WPF_bazowy!AR11+Symulacja!AR5+Symulacja!AR6+Symulacja!AR7</f>
        <v>0</v>
      </c>
      <c r="AS11" s="252">
        <f>+WPF_bazowy!AS11+Symulacja!AS5+Symulacja!AS6+Symulacja!AS7</f>
        <v>0</v>
      </c>
      <c r="AT11" s="252">
        <f>+WPF_bazowy!AT11+Symulacja!AT5+Symulacja!AT6+Symulacja!AT7</f>
        <v>0</v>
      </c>
      <c r="AU11" s="252">
        <f>+WPF_bazowy!AU11+Symulacja!AU5+Symulacja!AU6+Symulacja!AU7</f>
        <v>0</v>
      </c>
      <c r="AV11" s="252">
        <f>+WPF_bazowy!AV11+Symulacja!AV5+Symulacja!AV6+Symulacja!AV7</f>
        <v>0</v>
      </c>
      <c r="AW11" s="252">
        <f>+WPF_bazowy!AW11+Symulacja!AW5+Symulacja!AW6+Symulacja!AW7</f>
        <v>0</v>
      </c>
      <c r="AX11" s="252">
        <f>+WPF_bazowy!AX11+Symulacja!AX5+Symulacja!AX6+Symulacja!AX7</f>
        <v>0</v>
      </c>
      <c r="AY11" s="252">
        <f>+WPF_bazowy!AY11+Symulacja!AY5+Symulacja!AY6+Symulacja!AY7</f>
        <v>0</v>
      </c>
      <c r="AZ11" s="252">
        <f>+WPF_bazowy!AZ11+Symulacja!AZ5+Symulacja!AZ6+Symulacja!AZ7</f>
        <v>0</v>
      </c>
      <c r="BA11" s="253">
        <f>+WPF_bazowy!BA11+Symulacja!BA5+Symulacja!BA6+Symulacja!BA7</f>
        <v>0</v>
      </c>
    </row>
    <row r="12" spans="1:54" outlineLevel="2">
      <c r="C12" s="162" t="s">
        <v>32</v>
      </c>
      <c r="D12" s="169" t="s">
        <v>639</v>
      </c>
      <c r="E12" s="213" t="s">
        <v>80</v>
      </c>
      <c r="F12" s="164">
        <f>+WPF_bazowy!F12</f>
        <v>9152882</v>
      </c>
      <c r="G12" s="164">
        <f>+WPF_bazowy!G12</f>
        <v>10783358</v>
      </c>
      <c r="H12" s="164">
        <f>+WPF_bazowy!H12</f>
        <v>11360813</v>
      </c>
      <c r="I12" s="164">
        <f>+WPF_bazowy!I12</f>
        <v>13305001</v>
      </c>
      <c r="J12" s="164">
        <f>+WPF_bazowy!J12</f>
        <v>15580695</v>
      </c>
      <c r="K12" s="165">
        <f>+WPF_bazowy!K12</f>
        <v>15265056</v>
      </c>
      <c r="L12" s="165">
        <f>+WPF_bazowy!L12</f>
        <v>15966862</v>
      </c>
      <c r="M12" s="250">
        <f>+WPF_bazowy!M12</f>
        <v>17283048</v>
      </c>
      <c r="N12" s="164">
        <f>+WPF_bazowy!N12</f>
        <v>15128514</v>
      </c>
      <c r="O12" s="165">
        <f>+WPF_bazowy!O12</f>
        <v>15688269</v>
      </c>
      <c r="P12" s="165">
        <f>+WPF_bazowy!P12</f>
        <v>16237358</v>
      </c>
      <c r="Q12" s="165">
        <f>+WPF_bazowy!Q12</f>
        <v>16805666</v>
      </c>
      <c r="R12" s="165">
        <f>+WPF_bazowy!R12</f>
        <v>17393864</v>
      </c>
      <c r="S12" s="165">
        <f>+WPF_bazowy!S12</f>
        <v>17985255</v>
      </c>
      <c r="T12" s="165">
        <f>+WPF_bazowy!T12</f>
        <v>18578768</v>
      </c>
      <c r="U12" s="165">
        <f>+WPF_bazowy!U12</f>
        <v>19154710</v>
      </c>
      <c r="V12" s="165">
        <f>+WPF_bazowy!V12</f>
        <v>19710197</v>
      </c>
      <c r="W12" s="165">
        <f>+WPF_bazowy!W12</f>
        <v>20262083</v>
      </c>
      <c r="X12" s="165">
        <f>+WPF_bazowy!X12</f>
        <v>20809159</v>
      </c>
      <c r="Y12" s="165">
        <f>+WPF_bazowy!Y12</f>
        <v>21350197</v>
      </c>
      <c r="Z12" s="165">
        <f>+WPF_bazowy!Z12</f>
        <v>0</v>
      </c>
      <c r="AA12" s="165">
        <f>+WPF_bazowy!AA12</f>
        <v>0</v>
      </c>
      <c r="AB12" s="165">
        <f>+WPF_bazowy!AB12</f>
        <v>0</v>
      </c>
      <c r="AC12" s="165">
        <f>+WPF_bazowy!AC12</f>
        <v>0</v>
      </c>
      <c r="AD12" s="165">
        <f>+WPF_bazowy!AD12</f>
        <v>0</v>
      </c>
      <c r="AE12" s="165">
        <f>+WPF_bazowy!AE12</f>
        <v>0</v>
      </c>
      <c r="AF12" s="165">
        <f>+WPF_bazowy!AF12</f>
        <v>0</v>
      </c>
      <c r="AG12" s="165">
        <f>+WPF_bazowy!AG12</f>
        <v>0</v>
      </c>
      <c r="AH12" s="165">
        <f>+WPF_bazowy!AH12</f>
        <v>0</v>
      </c>
      <c r="AI12" s="165">
        <f>+WPF_bazowy!AI12</f>
        <v>0</v>
      </c>
      <c r="AJ12" s="165">
        <f>+WPF_bazowy!AJ12</f>
        <v>0</v>
      </c>
      <c r="AK12" s="165">
        <f>+WPF_bazowy!AK12</f>
        <v>0</v>
      </c>
      <c r="AL12" s="165">
        <f>+WPF_bazowy!AL12</f>
        <v>0</v>
      </c>
      <c r="AM12" s="165">
        <f>+WPF_bazowy!AM12</f>
        <v>0</v>
      </c>
      <c r="AN12" s="165">
        <f>+WPF_bazowy!AN12</f>
        <v>0</v>
      </c>
      <c r="AO12" s="165">
        <f>+WPF_bazowy!AO12</f>
        <v>0</v>
      </c>
      <c r="AP12" s="165">
        <f>+WPF_bazowy!AP12</f>
        <v>0</v>
      </c>
      <c r="AQ12" s="165">
        <f>+WPF_bazowy!AQ12</f>
        <v>0</v>
      </c>
      <c r="AR12" s="165">
        <f>+WPF_bazowy!AR12</f>
        <v>0</v>
      </c>
      <c r="AS12" s="165">
        <f>+WPF_bazowy!AS12</f>
        <v>0</v>
      </c>
      <c r="AT12" s="165">
        <f>+WPF_bazowy!AT12</f>
        <v>0</v>
      </c>
      <c r="AU12" s="165">
        <f>+WPF_bazowy!AU12</f>
        <v>0</v>
      </c>
      <c r="AV12" s="165">
        <f>+WPF_bazowy!AV12</f>
        <v>0</v>
      </c>
      <c r="AW12" s="165">
        <f>+WPF_bazowy!AW12</f>
        <v>0</v>
      </c>
      <c r="AX12" s="165">
        <f>+WPF_bazowy!AX12</f>
        <v>0</v>
      </c>
      <c r="AY12" s="165">
        <f>+WPF_bazowy!AY12</f>
        <v>0</v>
      </c>
      <c r="AZ12" s="165">
        <f>+WPF_bazowy!AZ12</f>
        <v>0</v>
      </c>
      <c r="BA12" s="178">
        <f>+WPF_bazowy!BA12</f>
        <v>0</v>
      </c>
    </row>
    <row r="13" spans="1:54" outlineLevel="2">
      <c r="C13" s="162" t="s">
        <v>33</v>
      </c>
      <c r="D13" s="169" t="s">
        <v>640</v>
      </c>
      <c r="E13" s="213" t="s">
        <v>81</v>
      </c>
      <c r="F13" s="164">
        <f>+WPF_bazowy!F13</f>
        <v>782013.97</v>
      </c>
      <c r="G13" s="164">
        <f>+WPF_bazowy!G13</f>
        <v>899040.43</v>
      </c>
      <c r="H13" s="164">
        <f>+WPF_bazowy!H13</f>
        <v>904864.39</v>
      </c>
      <c r="I13" s="164">
        <f>+WPF_bazowy!I13</f>
        <v>850781.59</v>
      </c>
      <c r="J13" s="164">
        <f>+WPF_bazowy!J13</f>
        <v>938919.07</v>
      </c>
      <c r="K13" s="165">
        <f>+WPF_bazowy!K13</f>
        <v>1006229.91</v>
      </c>
      <c r="L13" s="165">
        <f>+WPF_bazowy!L13</f>
        <v>750000</v>
      </c>
      <c r="M13" s="250">
        <f>+WPF_bazowy!M13</f>
        <v>1503525.46</v>
      </c>
      <c r="N13" s="164">
        <f>+WPF_bazowy!N13</f>
        <v>1199155</v>
      </c>
      <c r="O13" s="165">
        <f>+WPF_bazowy!O13</f>
        <v>1243524</v>
      </c>
      <c r="P13" s="165">
        <f>+WPF_bazowy!P13</f>
        <v>1287047</v>
      </c>
      <c r="Q13" s="165">
        <f>+WPF_bazowy!Q13</f>
        <v>1332094</v>
      </c>
      <c r="R13" s="165">
        <f>+WPF_bazowy!R13</f>
        <v>1378717</v>
      </c>
      <c r="S13" s="165">
        <f>+WPF_bazowy!S13</f>
        <v>1425593</v>
      </c>
      <c r="T13" s="165">
        <f>+WPF_bazowy!T13</f>
        <v>1472638</v>
      </c>
      <c r="U13" s="165">
        <f>+WPF_bazowy!U13</f>
        <v>1518290</v>
      </c>
      <c r="V13" s="165">
        <f>+WPF_bazowy!V13</f>
        <v>1562320</v>
      </c>
      <c r="W13" s="165">
        <f>+WPF_bazowy!W13</f>
        <v>1606065</v>
      </c>
      <c r="X13" s="165">
        <f>+WPF_bazowy!X13</f>
        <v>1649429</v>
      </c>
      <c r="Y13" s="165">
        <f>+WPF_bazowy!Y13</f>
        <v>1692314</v>
      </c>
      <c r="Z13" s="165">
        <f>+WPF_bazowy!Z13</f>
        <v>0</v>
      </c>
      <c r="AA13" s="165">
        <f>+WPF_bazowy!AA13</f>
        <v>0</v>
      </c>
      <c r="AB13" s="165">
        <f>+WPF_bazowy!AB13</f>
        <v>0</v>
      </c>
      <c r="AC13" s="165">
        <f>+WPF_bazowy!AC13</f>
        <v>0</v>
      </c>
      <c r="AD13" s="165">
        <f>+WPF_bazowy!AD13</f>
        <v>0</v>
      </c>
      <c r="AE13" s="165">
        <f>+WPF_bazowy!AE13</f>
        <v>0</v>
      </c>
      <c r="AF13" s="165">
        <f>+WPF_bazowy!AF13</f>
        <v>0</v>
      </c>
      <c r="AG13" s="165">
        <f>+WPF_bazowy!AG13</f>
        <v>0</v>
      </c>
      <c r="AH13" s="165">
        <f>+WPF_bazowy!AH13</f>
        <v>0</v>
      </c>
      <c r="AI13" s="165">
        <f>+WPF_bazowy!AI13</f>
        <v>0</v>
      </c>
      <c r="AJ13" s="165">
        <f>+WPF_bazowy!AJ13</f>
        <v>0</v>
      </c>
      <c r="AK13" s="165">
        <f>+WPF_bazowy!AK13</f>
        <v>0</v>
      </c>
      <c r="AL13" s="165">
        <f>+WPF_bazowy!AL13</f>
        <v>0</v>
      </c>
      <c r="AM13" s="165">
        <f>+WPF_bazowy!AM13</f>
        <v>0</v>
      </c>
      <c r="AN13" s="165">
        <f>+WPF_bazowy!AN13</f>
        <v>0</v>
      </c>
      <c r="AO13" s="165">
        <f>+WPF_bazowy!AO13</f>
        <v>0</v>
      </c>
      <c r="AP13" s="165">
        <f>+WPF_bazowy!AP13</f>
        <v>0</v>
      </c>
      <c r="AQ13" s="165">
        <f>+WPF_bazowy!AQ13</f>
        <v>0</v>
      </c>
      <c r="AR13" s="165">
        <f>+WPF_bazowy!AR13</f>
        <v>0</v>
      </c>
      <c r="AS13" s="165">
        <f>+WPF_bazowy!AS13</f>
        <v>0</v>
      </c>
      <c r="AT13" s="165">
        <f>+WPF_bazowy!AT13</f>
        <v>0</v>
      </c>
      <c r="AU13" s="165">
        <f>+WPF_bazowy!AU13</f>
        <v>0</v>
      </c>
      <c r="AV13" s="165">
        <f>+WPF_bazowy!AV13</f>
        <v>0</v>
      </c>
      <c r="AW13" s="165">
        <f>+WPF_bazowy!AW13</f>
        <v>0</v>
      </c>
      <c r="AX13" s="165">
        <f>+WPF_bazowy!AX13</f>
        <v>0</v>
      </c>
      <c r="AY13" s="165">
        <f>+WPF_bazowy!AY13</f>
        <v>0</v>
      </c>
      <c r="AZ13" s="165">
        <f>+WPF_bazowy!AZ13</f>
        <v>0</v>
      </c>
      <c r="BA13" s="178">
        <f>+WPF_bazowy!BA13</f>
        <v>0</v>
      </c>
    </row>
    <row r="14" spans="1:54" outlineLevel="2">
      <c r="C14" s="162" t="s">
        <v>34</v>
      </c>
      <c r="D14" s="169" t="s">
        <v>641</v>
      </c>
      <c r="E14" s="213" t="s">
        <v>83</v>
      </c>
      <c r="F14" s="164">
        <f>+WPF_bazowy!F14</f>
        <v>13019565</v>
      </c>
      <c r="G14" s="164">
        <f>+WPF_bazowy!G14</f>
        <v>12728910</v>
      </c>
      <c r="H14" s="164">
        <f>+WPF_bazowy!H14</f>
        <v>12317096</v>
      </c>
      <c r="I14" s="164">
        <f>+WPF_bazowy!I14</f>
        <v>12520323</v>
      </c>
      <c r="J14" s="164">
        <f>+WPF_bazowy!J14</f>
        <v>13794583</v>
      </c>
      <c r="K14" s="165">
        <f>+WPF_bazowy!K14</f>
        <v>14745448</v>
      </c>
      <c r="L14" s="165">
        <f>+WPF_bazowy!L14</f>
        <v>15304700</v>
      </c>
      <c r="M14" s="250">
        <f>+WPF_bazowy!M14</f>
        <v>17719752</v>
      </c>
      <c r="N14" s="164">
        <f>+WPF_bazowy!N14</f>
        <v>15519285</v>
      </c>
      <c r="O14" s="165">
        <f>+WPF_bazowy!O14</f>
        <v>16093499</v>
      </c>
      <c r="P14" s="165">
        <f>+WPF_bazowy!P14</f>
        <v>16656771</v>
      </c>
      <c r="Q14" s="165">
        <f>+WPF_bazowy!Q14</f>
        <v>17239758</v>
      </c>
      <c r="R14" s="165">
        <f>+WPF_bazowy!R14</f>
        <v>17843150</v>
      </c>
      <c r="S14" s="165">
        <f>+WPF_bazowy!S14</f>
        <v>18449817</v>
      </c>
      <c r="T14" s="165">
        <f>+WPF_bazowy!T14</f>
        <v>19058661</v>
      </c>
      <c r="U14" s="165">
        <f>+WPF_bazowy!U14</f>
        <v>19649479</v>
      </c>
      <c r="V14" s="165">
        <f>+WPF_bazowy!V14</f>
        <v>20219314</v>
      </c>
      <c r="W14" s="165">
        <f>+WPF_bazowy!W14</f>
        <v>20785455</v>
      </c>
      <c r="X14" s="165">
        <f>+WPF_bazowy!X14</f>
        <v>21346662</v>
      </c>
      <c r="Y14" s="165">
        <f>+WPF_bazowy!Y14</f>
        <v>21901675</v>
      </c>
      <c r="Z14" s="165">
        <f>+WPF_bazowy!Z14</f>
        <v>0</v>
      </c>
      <c r="AA14" s="165">
        <f>+WPF_bazowy!AA14</f>
        <v>0</v>
      </c>
      <c r="AB14" s="165">
        <f>+WPF_bazowy!AB14</f>
        <v>0</v>
      </c>
      <c r="AC14" s="165">
        <f>+WPF_bazowy!AC14</f>
        <v>0</v>
      </c>
      <c r="AD14" s="165">
        <f>+WPF_bazowy!AD14</f>
        <v>0</v>
      </c>
      <c r="AE14" s="165">
        <f>+WPF_bazowy!AE14</f>
        <v>0</v>
      </c>
      <c r="AF14" s="165">
        <f>+WPF_bazowy!AF14</f>
        <v>0</v>
      </c>
      <c r="AG14" s="165">
        <f>+WPF_bazowy!AG14</f>
        <v>0</v>
      </c>
      <c r="AH14" s="165">
        <f>+WPF_bazowy!AH14</f>
        <v>0</v>
      </c>
      <c r="AI14" s="165">
        <f>+WPF_bazowy!AI14</f>
        <v>0</v>
      </c>
      <c r="AJ14" s="165">
        <f>+WPF_bazowy!AJ14</f>
        <v>0</v>
      </c>
      <c r="AK14" s="165">
        <f>+WPF_bazowy!AK14</f>
        <v>0</v>
      </c>
      <c r="AL14" s="165">
        <f>+WPF_bazowy!AL14</f>
        <v>0</v>
      </c>
      <c r="AM14" s="165">
        <f>+WPF_bazowy!AM14</f>
        <v>0</v>
      </c>
      <c r="AN14" s="165">
        <f>+WPF_bazowy!AN14</f>
        <v>0</v>
      </c>
      <c r="AO14" s="165">
        <f>+WPF_bazowy!AO14</f>
        <v>0</v>
      </c>
      <c r="AP14" s="165">
        <f>+WPF_bazowy!AP14</f>
        <v>0</v>
      </c>
      <c r="AQ14" s="165">
        <f>+WPF_bazowy!AQ14</f>
        <v>0</v>
      </c>
      <c r="AR14" s="165">
        <f>+WPF_bazowy!AR14</f>
        <v>0</v>
      </c>
      <c r="AS14" s="165">
        <f>+WPF_bazowy!AS14</f>
        <v>0</v>
      </c>
      <c r="AT14" s="165">
        <f>+WPF_bazowy!AT14</f>
        <v>0</v>
      </c>
      <c r="AU14" s="165">
        <f>+WPF_bazowy!AU14</f>
        <v>0</v>
      </c>
      <c r="AV14" s="165">
        <f>+WPF_bazowy!AV14</f>
        <v>0</v>
      </c>
      <c r="AW14" s="165">
        <f>+WPF_bazowy!AW14</f>
        <v>0</v>
      </c>
      <c r="AX14" s="165">
        <f>+WPF_bazowy!AX14</f>
        <v>0</v>
      </c>
      <c r="AY14" s="165">
        <f>+WPF_bazowy!AY14</f>
        <v>0</v>
      </c>
      <c r="AZ14" s="165">
        <f>+WPF_bazowy!AZ14</f>
        <v>0</v>
      </c>
      <c r="BA14" s="178">
        <f>+WPF_bazowy!BA14</f>
        <v>0</v>
      </c>
    </row>
    <row r="15" spans="1:54" outlineLevel="2">
      <c r="A15" s="127" t="s">
        <v>27</v>
      </c>
      <c r="B15" s="238" t="s">
        <v>27</v>
      </c>
      <c r="C15" s="162" t="s">
        <v>35</v>
      </c>
      <c r="D15" s="169" t="s">
        <v>642</v>
      </c>
      <c r="E15" s="217" t="s">
        <v>84</v>
      </c>
      <c r="F15" s="164">
        <f>+WPF_bazowy!F15+Symulacja!F6+Symulacja!F7</f>
        <v>7960622.3200000003</v>
      </c>
      <c r="G15" s="164">
        <f>+WPF_bazowy!G15+Symulacja!G6+Symulacja!G7</f>
        <v>8662590.7200000007</v>
      </c>
      <c r="H15" s="164">
        <f>+WPF_bazowy!H15+Symulacja!H6+Symulacja!H7</f>
        <v>9829096.6400000006</v>
      </c>
      <c r="I15" s="164">
        <f>+WPF_bazowy!I15+Symulacja!I6+Symulacja!I7</f>
        <v>10136647.869999999</v>
      </c>
      <c r="J15" s="164">
        <f>+WPF_bazowy!J15+Symulacja!J6+Symulacja!J7</f>
        <v>11088593.85</v>
      </c>
      <c r="K15" s="165">
        <f>+WPF_bazowy!K15+Symulacja!K6+Symulacja!K7</f>
        <v>13097282.85</v>
      </c>
      <c r="L15" s="165">
        <f>+WPF_bazowy!L15+Symulacja!L6+Symulacja!L7</f>
        <v>13486171.65</v>
      </c>
      <c r="M15" s="250">
        <f>+WPF_bazowy!M15+Symulacja!M6+Symulacja!M7</f>
        <v>14390533.49</v>
      </c>
      <c r="N15" s="251">
        <f>+WPF_bazowy!N15+Symulacja!N6+Symulacja!N7</f>
        <v>14356356</v>
      </c>
      <c r="O15" s="252">
        <f>+WPF_bazowy!O15+Symulacja!O6+Symulacja!O7</f>
        <v>13836821</v>
      </c>
      <c r="P15" s="252">
        <f>+WPF_bazowy!P15+Symulacja!P6+Symulacja!P7</f>
        <v>14321110</v>
      </c>
      <c r="Q15" s="252">
        <f>+WPF_bazowy!Q15+Symulacja!Q6+Symulacja!Q7</f>
        <v>14822349</v>
      </c>
      <c r="R15" s="252">
        <f>+WPF_bazowy!R15+Symulacja!R6+Symulacja!R7</f>
        <v>15341131</v>
      </c>
      <c r="S15" s="252">
        <f>+WPF_bazowy!S15+Symulacja!S6+Symulacja!S7</f>
        <v>15862729</v>
      </c>
      <c r="T15" s="252">
        <f>+WPF_bazowy!T15+Symulacja!T6+Symulacja!T7</f>
        <v>16386199</v>
      </c>
      <c r="U15" s="252">
        <f>+WPF_bazowy!U15+Symulacja!U6+Symulacja!U7</f>
        <v>16894171</v>
      </c>
      <c r="V15" s="252">
        <f>+WPF_bazowy!V15+Symulacja!V6+Symulacja!V7</f>
        <v>17384102</v>
      </c>
      <c r="W15" s="252">
        <f>+WPF_bazowy!W15+Symulacja!W6+Symulacja!W7</f>
        <v>17870857</v>
      </c>
      <c r="X15" s="252">
        <f>+WPF_bazowy!X15+Symulacja!X6+Symulacja!X7</f>
        <v>18353370</v>
      </c>
      <c r="Y15" s="252">
        <f>+WPF_bazowy!Y15+Symulacja!Y6+Symulacja!Y7</f>
        <v>18830558</v>
      </c>
      <c r="Z15" s="252">
        <f>+WPF_bazowy!Z15+Symulacja!Z6+Symulacja!Z7</f>
        <v>0</v>
      </c>
      <c r="AA15" s="252">
        <f>+WPF_bazowy!AA15+Symulacja!AA6+Symulacja!AA7</f>
        <v>0</v>
      </c>
      <c r="AB15" s="252">
        <f>+WPF_bazowy!AB15+Symulacja!AB6+Symulacja!AB7</f>
        <v>0</v>
      </c>
      <c r="AC15" s="252">
        <f>+WPF_bazowy!AC15+Symulacja!AC6+Symulacja!AC7</f>
        <v>0</v>
      </c>
      <c r="AD15" s="252">
        <f>+WPF_bazowy!AD15+Symulacja!AD6+Symulacja!AD7</f>
        <v>0</v>
      </c>
      <c r="AE15" s="252">
        <f>+WPF_bazowy!AE15+Symulacja!AE6+Symulacja!AE7</f>
        <v>0</v>
      </c>
      <c r="AF15" s="252">
        <f>+WPF_bazowy!AF15+Symulacja!AF6+Symulacja!AF7</f>
        <v>0</v>
      </c>
      <c r="AG15" s="252">
        <f>+WPF_bazowy!AG15+Symulacja!AG6+Symulacja!AG7</f>
        <v>0</v>
      </c>
      <c r="AH15" s="252">
        <f>+WPF_bazowy!AH15+Symulacja!AH6+Symulacja!AH7</f>
        <v>0</v>
      </c>
      <c r="AI15" s="252">
        <f>+WPF_bazowy!AI15+Symulacja!AI6+Symulacja!AI7</f>
        <v>0</v>
      </c>
      <c r="AJ15" s="252">
        <f>+WPF_bazowy!AJ15+Symulacja!AJ6+Symulacja!AJ7</f>
        <v>0</v>
      </c>
      <c r="AK15" s="252">
        <f>+WPF_bazowy!AK15+Symulacja!AK6+Symulacja!AK7</f>
        <v>0</v>
      </c>
      <c r="AL15" s="252">
        <f>+WPF_bazowy!AL15+Symulacja!AL6+Symulacja!AL7</f>
        <v>0</v>
      </c>
      <c r="AM15" s="252">
        <f>+WPF_bazowy!AM15+Symulacja!AM6+Symulacja!AM7</f>
        <v>0</v>
      </c>
      <c r="AN15" s="252">
        <f>+WPF_bazowy!AN15+Symulacja!AN6+Symulacja!AN7</f>
        <v>0</v>
      </c>
      <c r="AO15" s="252">
        <f>+WPF_bazowy!AO15+Symulacja!AO6+Symulacja!AO7</f>
        <v>0</v>
      </c>
      <c r="AP15" s="252">
        <f>+WPF_bazowy!AP15+Symulacja!AP6+Symulacja!AP7</f>
        <v>0</v>
      </c>
      <c r="AQ15" s="252">
        <f>+WPF_bazowy!AQ15+Symulacja!AQ6+Symulacja!AQ7</f>
        <v>0</v>
      </c>
      <c r="AR15" s="252">
        <f>+WPF_bazowy!AR15+Symulacja!AR6+Symulacja!AR7</f>
        <v>0</v>
      </c>
      <c r="AS15" s="252">
        <f>+WPF_bazowy!AS15+Symulacja!AS6+Symulacja!AS7</f>
        <v>0</v>
      </c>
      <c r="AT15" s="252">
        <f>+WPF_bazowy!AT15+Symulacja!AT6+Symulacja!AT7</f>
        <v>0</v>
      </c>
      <c r="AU15" s="252">
        <f>+WPF_bazowy!AU15+Symulacja!AU6+Symulacja!AU7</f>
        <v>0</v>
      </c>
      <c r="AV15" s="252">
        <f>+WPF_bazowy!AV15+Symulacja!AV6+Symulacja!AV7</f>
        <v>0</v>
      </c>
      <c r="AW15" s="252">
        <f>+WPF_bazowy!AW15+Symulacja!AW6+Symulacja!AW7</f>
        <v>0</v>
      </c>
      <c r="AX15" s="252">
        <f>+WPF_bazowy!AX15+Symulacja!AX6+Symulacja!AX7</f>
        <v>0</v>
      </c>
      <c r="AY15" s="252">
        <f>+WPF_bazowy!AY15+Symulacja!AY6+Symulacja!AY7</f>
        <v>0</v>
      </c>
      <c r="AZ15" s="252">
        <f>+WPF_bazowy!AZ15+Symulacja!AZ6+Symulacja!AZ7</f>
        <v>0</v>
      </c>
      <c r="BA15" s="253">
        <f>+WPF_bazowy!BA15+Symulacja!BA6+Symulacja!BA7</f>
        <v>0</v>
      </c>
    </row>
    <row r="16" spans="1:54" outlineLevel="2">
      <c r="C16" s="162" t="s">
        <v>36</v>
      </c>
      <c r="D16" s="169"/>
      <c r="E16" s="217" t="s">
        <v>314</v>
      </c>
      <c r="F16" s="164">
        <f>+WPF_bazowy!F16+Symulacja!F5</f>
        <v>3069878.44</v>
      </c>
      <c r="G16" s="164">
        <f>+WPF_bazowy!G16+Symulacja!G5</f>
        <v>3446144.05</v>
      </c>
      <c r="H16" s="164">
        <f>+WPF_bazowy!H16+Symulacja!H5</f>
        <v>3634978.72</v>
      </c>
      <c r="I16" s="164">
        <f>+WPF_bazowy!I16+Symulacja!I5</f>
        <v>3662344.34</v>
      </c>
      <c r="J16" s="164">
        <f>+WPF_bazowy!J16+Symulacja!J5</f>
        <v>3922448.09</v>
      </c>
      <c r="K16" s="165">
        <f>+WPF_bazowy!K16+Symulacja!K5</f>
        <v>3770620.66</v>
      </c>
      <c r="L16" s="165">
        <f>+WPF_bazowy!L16+Symulacja!L5</f>
        <v>4248609</v>
      </c>
      <c r="M16" s="250">
        <f>+WPF_bazowy!M16+Symulacja!M5</f>
        <v>5480446.0499999998</v>
      </c>
      <c r="N16" s="251">
        <f>+WPF_bazowy!N16+Symulacja!N5</f>
        <v>3709000</v>
      </c>
      <c r="O16" s="252">
        <f>+WPF_bazowy!O16+Symulacja!O5</f>
        <v>4546233</v>
      </c>
      <c r="P16" s="252">
        <f>+WPF_bazowy!P16+Symulacja!P5</f>
        <v>4705351</v>
      </c>
      <c r="Q16" s="252">
        <f>+WPF_bazowy!Q16+Symulacja!Q5</f>
        <v>4870038</v>
      </c>
      <c r="R16" s="252">
        <f>+WPF_bazowy!R16+Symulacja!R5</f>
        <v>5040489</v>
      </c>
      <c r="S16" s="252">
        <f>+WPF_bazowy!S16+Symulacja!S5</f>
        <v>5211866</v>
      </c>
      <c r="T16" s="252">
        <f>+WPF_bazowy!T16+Symulacja!T5</f>
        <v>5383858</v>
      </c>
      <c r="U16" s="252">
        <f>+WPF_bazowy!U16+Symulacja!U5</f>
        <v>5550758</v>
      </c>
      <c r="V16" s="252">
        <f>+WPF_bazowy!V16+Symulacja!V5</f>
        <v>5711730</v>
      </c>
      <c r="W16" s="252">
        <f>+WPF_bazowy!W16+Symulacja!W5</f>
        <v>5871658</v>
      </c>
      <c r="X16" s="252">
        <f>+WPF_bazowy!X16+Symulacja!X5</f>
        <v>6030193</v>
      </c>
      <c r="Y16" s="252">
        <f>+WPF_bazowy!Y16+Symulacja!Y5</f>
        <v>6186978</v>
      </c>
      <c r="Z16" s="252">
        <f>+WPF_bazowy!Z16+Symulacja!Z5</f>
        <v>0</v>
      </c>
      <c r="AA16" s="252">
        <f>+WPF_bazowy!AA16+Symulacja!AA5</f>
        <v>0</v>
      </c>
      <c r="AB16" s="252">
        <f>+WPF_bazowy!AB16+Symulacja!AB5</f>
        <v>0</v>
      </c>
      <c r="AC16" s="252">
        <f>+WPF_bazowy!AC16+Symulacja!AC5</f>
        <v>0</v>
      </c>
      <c r="AD16" s="252">
        <f>+WPF_bazowy!AD16+Symulacja!AD5</f>
        <v>0</v>
      </c>
      <c r="AE16" s="252">
        <f>+WPF_bazowy!AE16+Symulacja!AE5</f>
        <v>0</v>
      </c>
      <c r="AF16" s="252">
        <f>+WPF_bazowy!AF16+Symulacja!AF5</f>
        <v>0</v>
      </c>
      <c r="AG16" s="252">
        <f>+WPF_bazowy!AG16+Symulacja!AG5</f>
        <v>0</v>
      </c>
      <c r="AH16" s="252">
        <f>+WPF_bazowy!AH16+Symulacja!AH5</f>
        <v>0</v>
      </c>
      <c r="AI16" s="252">
        <f>+WPF_bazowy!AI16+Symulacja!AI5</f>
        <v>0</v>
      </c>
      <c r="AJ16" s="252">
        <f>+WPF_bazowy!AJ16+Symulacja!AJ5</f>
        <v>0</v>
      </c>
      <c r="AK16" s="252">
        <f>+WPF_bazowy!AK16+Symulacja!AK5</f>
        <v>0</v>
      </c>
      <c r="AL16" s="252">
        <f>+WPF_bazowy!AL16+Symulacja!AL5</f>
        <v>0</v>
      </c>
      <c r="AM16" s="252">
        <f>+WPF_bazowy!AM16+Symulacja!AM5</f>
        <v>0</v>
      </c>
      <c r="AN16" s="252">
        <f>+WPF_bazowy!AN16+Symulacja!AN5</f>
        <v>0</v>
      </c>
      <c r="AO16" s="252">
        <f>+WPF_bazowy!AO16+Symulacja!AO5</f>
        <v>0</v>
      </c>
      <c r="AP16" s="252">
        <f>+WPF_bazowy!AP16+Symulacja!AP5</f>
        <v>0</v>
      </c>
      <c r="AQ16" s="252">
        <f>+WPF_bazowy!AQ16+Symulacja!AQ5</f>
        <v>0</v>
      </c>
      <c r="AR16" s="252">
        <f>+WPF_bazowy!AR16+Symulacja!AR5</f>
        <v>0</v>
      </c>
      <c r="AS16" s="252">
        <f>+WPF_bazowy!AS16+Symulacja!AS5</f>
        <v>0</v>
      </c>
      <c r="AT16" s="252">
        <f>+WPF_bazowy!AT16+Symulacja!AT5</f>
        <v>0</v>
      </c>
      <c r="AU16" s="252">
        <f>+WPF_bazowy!AU16+Symulacja!AU5</f>
        <v>0</v>
      </c>
      <c r="AV16" s="252">
        <f>+WPF_bazowy!AV16+Symulacja!AV5</f>
        <v>0</v>
      </c>
      <c r="AW16" s="252">
        <f>+WPF_bazowy!AW16+Symulacja!AW5</f>
        <v>0</v>
      </c>
      <c r="AX16" s="252">
        <f>+WPF_bazowy!AX16+Symulacja!AX5</f>
        <v>0</v>
      </c>
      <c r="AY16" s="252">
        <f>+WPF_bazowy!AY16+Symulacja!AY5</f>
        <v>0</v>
      </c>
      <c r="AZ16" s="252">
        <f>+WPF_bazowy!AZ16+Symulacja!AZ5</f>
        <v>0</v>
      </c>
      <c r="BA16" s="253">
        <f>+WPF_bazowy!BA16+Symulacja!BA5</f>
        <v>0</v>
      </c>
    </row>
    <row r="17" spans="1:54" outlineLevel="3">
      <c r="C17" s="162" t="s">
        <v>268</v>
      </c>
      <c r="D17" s="169" t="s">
        <v>643</v>
      </c>
      <c r="E17" s="233" t="s">
        <v>82</v>
      </c>
      <c r="F17" s="164">
        <f>+WPF_bazowy!F17</f>
        <v>0</v>
      </c>
      <c r="G17" s="164">
        <f>+WPF_bazowy!G17</f>
        <v>0</v>
      </c>
      <c r="H17" s="164">
        <f>+WPF_bazowy!H17</f>
        <v>0</v>
      </c>
      <c r="I17" s="164">
        <f>+WPF_bazowy!I17</f>
        <v>0</v>
      </c>
      <c r="J17" s="164">
        <f>+WPF_bazowy!J17</f>
        <v>0</v>
      </c>
      <c r="K17" s="165">
        <f>+WPF_bazowy!K17</f>
        <v>0</v>
      </c>
      <c r="L17" s="165">
        <f>+WPF_bazowy!L17</f>
        <v>0</v>
      </c>
      <c r="M17" s="250">
        <f>+WPF_bazowy!M17</f>
        <v>0</v>
      </c>
      <c r="N17" s="164">
        <f>+WPF_bazowy!N17</f>
        <v>0</v>
      </c>
      <c r="O17" s="165">
        <f>+WPF_bazowy!O17</f>
        <v>0</v>
      </c>
      <c r="P17" s="165">
        <f>+WPF_bazowy!P17</f>
        <v>0</v>
      </c>
      <c r="Q17" s="165">
        <f>+WPF_bazowy!Q17</f>
        <v>0</v>
      </c>
      <c r="R17" s="165">
        <f>+WPF_bazowy!R17</f>
        <v>0</v>
      </c>
      <c r="S17" s="165">
        <f>+WPF_bazowy!S17</f>
        <v>0</v>
      </c>
      <c r="T17" s="165">
        <f>+WPF_bazowy!T17</f>
        <v>0</v>
      </c>
      <c r="U17" s="165">
        <f>+WPF_bazowy!U17</f>
        <v>0</v>
      </c>
      <c r="V17" s="165">
        <f>+WPF_bazowy!V17</f>
        <v>0</v>
      </c>
      <c r="W17" s="165">
        <f>+WPF_bazowy!W17</f>
        <v>0</v>
      </c>
      <c r="X17" s="165">
        <f>+WPF_bazowy!X17</f>
        <v>0</v>
      </c>
      <c r="Y17" s="165">
        <f>+WPF_bazowy!Y17</f>
        <v>0</v>
      </c>
      <c r="Z17" s="165">
        <f>+WPF_bazowy!Z17</f>
        <v>0</v>
      </c>
      <c r="AA17" s="165">
        <f>+WPF_bazowy!AA17</f>
        <v>0</v>
      </c>
      <c r="AB17" s="165">
        <f>+WPF_bazowy!AB17</f>
        <v>0</v>
      </c>
      <c r="AC17" s="165">
        <f>+WPF_bazowy!AC17</f>
        <v>0</v>
      </c>
      <c r="AD17" s="165">
        <f>+WPF_bazowy!AD17</f>
        <v>0</v>
      </c>
      <c r="AE17" s="165">
        <f>+WPF_bazowy!AE17</f>
        <v>0</v>
      </c>
      <c r="AF17" s="165">
        <f>+WPF_bazowy!AF17</f>
        <v>0</v>
      </c>
      <c r="AG17" s="165">
        <f>+WPF_bazowy!AG17</f>
        <v>0</v>
      </c>
      <c r="AH17" s="165">
        <f>+WPF_bazowy!AH17</f>
        <v>0</v>
      </c>
      <c r="AI17" s="165">
        <f>+WPF_bazowy!AI17</f>
        <v>0</v>
      </c>
      <c r="AJ17" s="165">
        <f>+WPF_bazowy!AJ17</f>
        <v>0</v>
      </c>
      <c r="AK17" s="165">
        <f>+WPF_bazowy!AK17</f>
        <v>0</v>
      </c>
      <c r="AL17" s="165">
        <f>+WPF_bazowy!AL17</f>
        <v>0</v>
      </c>
      <c r="AM17" s="165">
        <f>+WPF_bazowy!AM17</f>
        <v>0</v>
      </c>
      <c r="AN17" s="165">
        <f>+WPF_bazowy!AN17</f>
        <v>0</v>
      </c>
      <c r="AO17" s="165">
        <f>+WPF_bazowy!AO17</f>
        <v>0</v>
      </c>
      <c r="AP17" s="165">
        <f>+WPF_bazowy!AP17</f>
        <v>0</v>
      </c>
      <c r="AQ17" s="165">
        <f>+WPF_bazowy!AQ17</f>
        <v>0</v>
      </c>
      <c r="AR17" s="165">
        <f>+WPF_bazowy!AR17</f>
        <v>0</v>
      </c>
      <c r="AS17" s="165">
        <f>+WPF_bazowy!AS17</f>
        <v>0</v>
      </c>
      <c r="AT17" s="165">
        <f>+WPF_bazowy!AT17</f>
        <v>0</v>
      </c>
      <c r="AU17" s="165">
        <f>+WPF_bazowy!AU17</f>
        <v>0</v>
      </c>
      <c r="AV17" s="165">
        <f>+WPF_bazowy!AV17</f>
        <v>0</v>
      </c>
      <c r="AW17" s="165">
        <f>+WPF_bazowy!AW17</f>
        <v>0</v>
      </c>
      <c r="AX17" s="165">
        <f>+WPF_bazowy!AX17</f>
        <v>0</v>
      </c>
      <c r="AY17" s="165">
        <f>+WPF_bazowy!AY17</f>
        <v>0</v>
      </c>
      <c r="AZ17" s="165">
        <f>+WPF_bazowy!AZ17</f>
        <v>0</v>
      </c>
      <c r="BA17" s="178">
        <f>+WPF_bazowy!BA17</f>
        <v>0</v>
      </c>
    </row>
    <row r="18" spans="1:54" outlineLevel="1">
      <c r="A18" s="127" t="s">
        <v>27</v>
      </c>
      <c r="C18" s="162" t="s">
        <v>52</v>
      </c>
      <c r="D18" s="169" t="s">
        <v>358</v>
      </c>
      <c r="E18" s="234" t="s">
        <v>25</v>
      </c>
      <c r="F18" s="164">
        <f>+WPF_bazowy!F18+Symulacja!F11+Symulacja!F10+Symulacja!F9+Symulacja!F8</f>
        <v>3669599.15</v>
      </c>
      <c r="G18" s="164">
        <f>+WPF_bazowy!G18+Symulacja!G11+Symulacja!G10+Symulacja!G9+Symulacja!G8</f>
        <v>6057658.0199999996</v>
      </c>
      <c r="H18" s="164">
        <f>+WPF_bazowy!H18+Symulacja!H11+Symulacja!H10+Symulacja!H9+Symulacja!H8</f>
        <v>4225247.07</v>
      </c>
      <c r="I18" s="164">
        <f>+WPF_bazowy!I18+Symulacja!I11+Symulacja!I10+Symulacja!I9+Symulacja!I8</f>
        <v>9229576.5299999993</v>
      </c>
      <c r="J18" s="164">
        <f>+WPF_bazowy!J18+Symulacja!J11+Symulacja!J10+Symulacja!J9+Symulacja!J8</f>
        <v>13435893.33</v>
      </c>
      <c r="K18" s="165">
        <f>+WPF_bazowy!K18+Symulacja!K11+Symulacja!K10+Symulacja!K9+Symulacja!K8</f>
        <v>14601164.66</v>
      </c>
      <c r="L18" s="165">
        <f>+WPF_bazowy!L18+Symulacja!L11+Symulacja!L10+Symulacja!L9+Symulacja!L8</f>
        <v>5599950</v>
      </c>
      <c r="M18" s="250">
        <f>+WPF_bazowy!M18+Symulacja!M11+Symulacja!M10+Symulacja!M9+Symulacja!M8</f>
        <v>11311007.060000001</v>
      </c>
      <c r="N18" s="251">
        <f>+WPF_bazowy!N18+Symulacja!N11+Symulacja!N10+Symulacja!N9+Symulacja!N8</f>
        <v>10814085</v>
      </c>
      <c r="O18" s="252">
        <f>+WPF_bazowy!O18+Symulacja!O11+Symulacja!O10+Symulacja!O9+Symulacja!O8</f>
        <v>22250000</v>
      </c>
      <c r="P18" s="252">
        <f>+WPF_bazowy!P18+Symulacja!P11+Symulacja!P10+Symulacja!P9+Symulacja!P8</f>
        <v>500000</v>
      </c>
      <c r="Q18" s="252">
        <f>+WPF_bazowy!Q18+Symulacja!Q11+Symulacja!Q10+Symulacja!Q9+Symulacja!Q8</f>
        <v>500000</v>
      </c>
      <c r="R18" s="252">
        <f>+WPF_bazowy!R18+Symulacja!R11+Symulacja!R10+Symulacja!R9+Symulacja!R8</f>
        <v>500000</v>
      </c>
      <c r="S18" s="252">
        <f>+WPF_bazowy!S18+Symulacja!S11+Symulacja!S10+Symulacja!S9+Symulacja!S8</f>
        <v>500000</v>
      </c>
      <c r="T18" s="252">
        <f>+WPF_bazowy!T18+Symulacja!T11+Symulacja!T10+Symulacja!T9+Symulacja!T8</f>
        <v>500000</v>
      </c>
      <c r="U18" s="252">
        <f>+WPF_bazowy!U18+Symulacja!U11+Symulacja!U10+Symulacja!U9+Symulacja!U8</f>
        <v>500000</v>
      </c>
      <c r="V18" s="252">
        <f>+WPF_bazowy!V18+Symulacja!V11+Symulacja!V10+Symulacja!V9+Symulacja!V8</f>
        <v>500000</v>
      </c>
      <c r="W18" s="252">
        <f>+WPF_bazowy!W18+Symulacja!W11+Symulacja!W10+Symulacja!W9+Symulacja!W8</f>
        <v>500000</v>
      </c>
      <c r="X18" s="252">
        <f>+WPF_bazowy!X18+Symulacja!X11+Symulacja!X10+Symulacja!X9+Symulacja!X8</f>
        <v>0</v>
      </c>
      <c r="Y18" s="252">
        <f>+WPF_bazowy!Y18+Symulacja!Y11+Symulacja!Y10+Symulacja!Y9+Symulacja!Y8</f>
        <v>0</v>
      </c>
      <c r="Z18" s="252">
        <f>+WPF_bazowy!Z18+Symulacja!Z11+Symulacja!Z10+Symulacja!Z9+Symulacja!Z8</f>
        <v>0</v>
      </c>
      <c r="AA18" s="252">
        <f>+WPF_bazowy!AA18+Symulacja!AA11+Symulacja!AA10+Symulacja!AA9+Symulacja!AA8</f>
        <v>0</v>
      </c>
      <c r="AB18" s="252">
        <f>+WPF_bazowy!AB18+Symulacja!AB11+Symulacja!AB10+Symulacja!AB9+Symulacja!AB8</f>
        <v>0</v>
      </c>
      <c r="AC18" s="252">
        <f>+WPF_bazowy!AC18+Symulacja!AC11+Symulacja!AC10+Symulacja!AC9+Symulacja!AC8</f>
        <v>0</v>
      </c>
      <c r="AD18" s="252">
        <f>+WPF_bazowy!AD18+Symulacja!AD11+Symulacja!AD10+Symulacja!AD9+Symulacja!AD8</f>
        <v>0</v>
      </c>
      <c r="AE18" s="252">
        <f>+WPF_bazowy!AE18+Symulacja!AE11+Symulacja!AE10+Symulacja!AE9+Symulacja!AE8</f>
        <v>0</v>
      </c>
      <c r="AF18" s="252">
        <f>+WPF_bazowy!AF18+Symulacja!AF11+Symulacja!AF10+Symulacja!AF9+Symulacja!AF8</f>
        <v>0</v>
      </c>
      <c r="AG18" s="252">
        <f>+WPF_bazowy!AG18+Symulacja!AG11+Symulacja!AG10+Symulacja!AG9+Symulacja!AG8</f>
        <v>0</v>
      </c>
      <c r="AH18" s="252">
        <f>+WPF_bazowy!AH18+Symulacja!AH11+Symulacja!AH10+Symulacja!AH9+Symulacja!AH8</f>
        <v>0</v>
      </c>
      <c r="AI18" s="252">
        <f>+WPF_bazowy!AI18+Symulacja!AI11+Symulacja!AI10+Symulacja!AI9+Symulacja!AI8</f>
        <v>0</v>
      </c>
      <c r="AJ18" s="252">
        <f>+WPF_bazowy!AJ18+Symulacja!AJ11+Symulacja!AJ10+Symulacja!AJ9+Symulacja!AJ8</f>
        <v>0</v>
      </c>
      <c r="AK18" s="252">
        <f>+WPF_bazowy!AK18+Symulacja!AK11+Symulacja!AK10+Symulacja!AK9+Symulacja!AK8</f>
        <v>0</v>
      </c>
      <c r="AL18" s="252">
        <f>+WPF_bazowy!AL18+Symulacja!AL11+Symulacja!AL10+Symulacja!AL9+Symulacja!AL8</f>
        <v>0</v>
      </c>
      <c r="AM18" s="252">
        <f>+WPF_bazowy!AM18+Symulacja!AM11+Symulacja!AM10+Symulacja!AM9+Symulacja!AM8</f>
        <v>0</v>
      </c>
      <c r="AN18" s="252">
        <f>+WPF_bazowy!AN18+Symulacja!AN11+Symulacja!AN10+Symulacja!AN9+Symulacja!AN8</f>
        <v>0</v>
      </c>
      <c r="AO18" s="252">
        <f>+WPF_bazowy!AO18+Symulacja!AO11+Symulacja!AO10+Symulacja!AO9+Symulacja!AO8</f>
        <v>0</v>
      </c>
      <c r="AP18" s="252">
        <f>+WPF_bazowy!AP18+Symulacja!AP11+Symulacja!AP10+Symulacja!AP9+Symulacja!AP8</f>
        <v>0</v>
      </c>
      <c r="AQ18" s="252">
        <f>+WPF_bazowy!AQ18+Symulacja!AQ11+Symulacja!AQ10+Symulacja!AQ9+Symulacja!AQ8</f>
        <v>0</v>
      </c>
      <c r="AR18" s="252">
        <f>+WPF_bazowy!AR18+Symulacja!AR11+Symulacja!AR10+Symulacja!AR9+Symulacja!AR8</f>
        <v>0</v>
      </c>
      <c r="AS18" s="252">
        <f>+WPF_bazowy!AS18+Symulacja!AS11+Symulacja!AS10+Symulacja!AS9+Symulacja!AS8</f>
        <v>0</v>
      </c>
      <c r="AT18" s="252">
        <f>+WPF_bazowy!AT18+Symulacja!AT11+Symulacja!AT10+Symulacja!AT9+Symulacja!AT8</f>
        <v>0</v>
      </c>
      <c r="AU18" s="252">
        <f>+WPF_bazowy!AU18+Symulacja!AU11+Symulacja!AU10+Symulacja!AU9+Symulacja!AU8</f>
        <v>0</v>
      </c>
      <c r="AV18" s="252">
        <f>+WPF_bazowy!AV18+Symulacja!AV11+Symulacja!AV10+Symulacja!AV9+Symulacja!AV8</f>
        <v>0</v>
      </c>
      <c r="AW18" s="252">
        <f>+WPF_bazowy!AW18+Symulacja!AW11+Symulacja!AW10+Symulacja!AW9+Symulacja!AW8</f>
        <v>0</v>
      </c>
      <c r="AX18" s="252">
        <f>+WPF_bazowy!AX18+Symulacja!AX11+Symulacja!AX10+Symulacja!AX9+Symulacja!AX8</f>
        <v>0</v>
      </c>
      <c r="AY18" s="252">
        <f>+WPF_bazowy!AY18+Symulacja!AY11+Symulacja!AY10+Symulacja!AY9+Symulacja!AY8</f>
        <v>0</v>
      </c>
      <c r="AZ18" s="252">
        <f>+WPF_bazowy!AZ18+Symulacja!AZ11+Symulacja!AZ10+Symulacja!AZ9+Symulacja!AZ8</f>
        <v>0</v>
      </c>
      <c r="BA18" s="253">
        <f>+WPF_bazowy!BA18+Symulacja!BA11+Symulacja!BA10+Symulacja!BA9+Symulacja!BA8</f>
        <v>0</v>
      </c>
    </row>
    <row r="19" spans="1:54" outlineLevel="2">
      <c r="B19" s="238" t="s">
        <v>27</v>
      </c>
      <c r="C19" s="162" t="s">
        <v>37</v>
      </c>
      <c r="D19" s="169" t="s">
        <v>28</v>
      </c>
      <c r="E19" s="217" t="s">
        <v>26</v>
      </c>
      <c r="F19" s="164">
        <f>+WPF_bazowy!F19+Symulacja!F8</f>
        <v>64900</v>
      </c>
      <c r="G19" s="164">
        <f>+WPF_bazowy!G19+Symulacja!G8</f>
        <v>78784</v>
      </c>
      <c r="H19" s="164">
        <f>+WPF_bazowy!H19+Symulacja!H8</f>
        <v>54862.11</v>
      </c>
      <c r="I19" s="164">
        <f>+WPF_bazowy!I19+Symulacja!I8</f>
        <v>1291195.7</v>
      </c>
      <c r="J19" s="164">
        <f>+WPF_bazowy!J19+Symulacja!J8</f>
        <v>36723.58</v>
      </c>
      <c r="K19" s="165">
        <f>+WPF_bazowy!K19+Symulacja!K8</f>
        <v>40699.5</v>
      </c>
      <c r="L19" s="165">
        <f>+WPF_bazowy!L19+Symulacja!L8</f>
        <v>29000</v>
      </c>
      <c r="M19" s="250">
        <f>+WPF_bazowy!M19+Symulacja!M8</f>
        <v>3477093.64</v>
      </c>
      <c r="N19" s="251">
        <f>+WPF_bazowy!N19+Symulacja!N8</f>
        <v>29000</v>
      </c>
      <c r="O19" s="252">
        <f>+WPF_bazowy!O19+Symulacja!O8</f>
        <v>0</v>
      </c>
      <c r="P19" s="252">
        <f>+WPF_bazowy!P19+Symulacja!P8</f>
        <v>0</v>
      </c>
      <c r="Q19" s="252">
        <f>+WPF_bazowy!Q19+Symulacja!Q8</f>
        <v>0</v>
      </c>
      <c r="R19" s="252">
        <f>+WPF_bazowy!R19+Symulacja!R8</f>
        <v>0</v>
      </c>
      <c r="S19" s="252">
        <f>+WPF_bazowy!S19+Symulacja!S8</f>
        <v>0</v>
      </c>
      <c r="T19" s="252">
        <f>+WPF_bazowy!T19+Symulacja!T8</f>
        <v>0</v>
      </c>
      <c r="U19" s="252">
        <f>+WPF_bazowy!U19+Symulacja!U8</f>
        <v>0</v>
      </c>
      <c r="V19" s="252">
        <f>+WPF_bazowy!V19+Symulacja!V8</f>
        <v>0</v>
      </c>
      <c r="W19" s="252">
        <f>+WPF_bazowy!W19+Symulacja!W8</f>
        <v>0</v>
      </c>
      <c r="X19" s="252">
        <f>+WPF_bazowy!X19+Symulacja!X8</f>
        <v>0</v>
      </c>
      <c r="Y19" s="252">
        <f>+WPF_bazowy!Y19+Symulacja!Y8</f>
        <v>0</v>
      </c>
      <c r="Z19" s="252">
        <f>+WPF_bazowy!Z19+Symulacja!Z8</f>
        <v>0</v>
      </c>
      <c r="AA19" s="252">
        <f>+WPF_bazowy!AA19+Symulacja!AA8</f>
        <v>0</v>
      </c>
      <c r="AB19" s="252">
        <f>+WPF_bazowy!AB19+Symulacja!AB8</f>
        <v>0</v>
      </c>
      <c r="AC19" s="252">
        <f>+WPF_bazowy!AC19+Symulacja!AC8</f>
        <v>0</v>
      </c>
      <c r="AD19" s="252">
        <f>+WPF_bazowy!AD19+Symulacja!AD8</f>
        <v>0</v>
      </c>
      <c r="AE19" s="252">
        <f>+WPF_bazowy!AE19+Symulacja!AE8</f>
        <v>0</v>
      </c>
      <c r="AF19" s="252">
        <f>+WPF_bazowy!AF19+Symulacja!AF8</f>
        <v>0</v>
      </c>
      <c r="AG19" s="252">
        <f>+WPF_bazowy!AG19+Symulacja!AG8</f>
        <v>0</v>
      </c>
      <c r="AH19" s="252">
        <f>+WPF_bazowy!AH19+Symulacja!AH8</f>
        <v>0</v>
      </c>
      <c r="AI19" s="252">
        <f>+WPF_bazowy!AI19+Symulacja!AI8</f>
        <v>0</v>
      </c>
      <c r="AJ19" s="252">
        <f>+WPF_bazowy!AJ19+Symulacja!AJ8</f>
        <v>0</v>
      </c>
      <c r="AK19" s="252">
        <f>+WPF_bazowy!AK19+Symulacja!AK8</f>
        <v>0</v>
      </c>
      <c r="AL19" s="252">
        <f>+WPF_bazowy!AL19+Symulacja!AL8</f>
        <v>0</v>
      </c>
      <c r="AM19" s="252">
        <f>+WPF_bazowy!AM19+Symulacja!AM8</f>
        <v>0</v>
      </c>
      <c r="AN19" s="252">
        <f>+WPF_bazowy!AN19+Symulacja!AN8</f>
        <v>0</v>
      </c>
      <c r="AO19" s="252">
        <f>+WPF_bazowy!AO19+Symulacja!AO8</f>
        <v>0</v>
      </c>
      <c r="AP19" s="252">
        <f>+WPF_bazowy!AP19+Symulacja!AP8</f>
        <v>0</v>
      </c>
      <c r="AQ19" s="252">
        <f>+WPF_bazowy!AQ19+Symulacja!AQ8</f>
        <v>0</v>
      </c>
      <c r="AR19" s="252">
        <f>+WPF_bazowy!AR19+Symulacja!AR8</f>
        <v>0</v>
      </c>
      <c r="AS19" s="252">
        <f>+WPF_bazowy!AS19+Symulacja!AS8</f>
        <v>0</v>
      </c>
      <c r="AT19" s="252">
        <f>+WPF_bazowy!AT19+Symulacja!AT8</f>
        <v>0</v>
      </c>
      <c r="AU19" s="252">
        <f>+WPF_bazowy!AU19+Symulacja!AU8</f>
        <v>0</v>
      </c>
      <c r="AV19" s="252">
        <f>+WPF_bazowy!AV19+Symulacja!AV8</f>
        <v>0</v>
      </c>
      <c r="AW19" s="252">
        <f>+WPF_bazowy!AW19+Symulacja!AW8</f>
        <v>0</v>
      </c>
      <c r="AX19" s="252">
        <f>+WPF_bazowy!AX19+Symulacja!AX8</f>
        <v>0</v>
      </c>
      <c r="AY19" s="252">
        <f>+WPF_bazowy!AY19+Symulacja!AY8</f>
        <v>0</v>
      </c>
      <c r="AZ19" s="252">
        <f>+WPF_bazowy!AZ19+Symulacja!AZ8</f>
        <v>0</v>
      </c>
      <c r="BA19" s="253">
        <f>+WPF_bazowy!BA19+Symulacja!BA8</f>
        <v>0</v>
      </c>
    </row>
    <row r="20" spans="1:54" outlineLevel="2">
      <c r="C20" s="162" t="s">
        <v>38</v>
      </c>
      <c r="D20" s="169"/>
      <c r="E20" s="217" t="s">
        <v>85</v>
      </c>
      <c r="F20" s="164">
        <f>+WPF_bazowy!F20+Symulacja!F10+Symulacja!F9</f>
        <v>3604699.15</v>
      </c>
      <c r="G20" s="164">
        <f>+WPF_bazowy!G20+Symulacja!G10+Symulacja!G9</f>
        <v>5978874.0199999996</v>
      </c>
      <c r="H20" s="164">
        <f>+WPF_bazowy!H20+Symulacja!H10+Symulacja!H9</f>
        <v>4170384.96</v>
      </c>
      <c r="I20" s="164">
        <f>+WPF_bazowy!I20+Symulacja!I10+Symulacja!I9</f>
        <v>7938380.8300000001</v>
      </c>
      <c r="J20" s="164">
        <f>+WPF_bazowy!J20+Symulacja!J10+Symulacja!J9</f>
        <v>13399169.75</v>
      </c>
      <c r="K20" s="165">
        <f>+WPF_bazowy!K20+Symulacja!K10+Symulacja!K9</f>
        <v>14447305.16</v>
      </c>
      <c r="L20" s="165">
        <f>+WPF_bazowy!L20+Symulacja!L10+Symulacja!L9</f>
        <v>5517814</v>
      </c>
      <c r="M20" s="250">
        <f>+WPF_bazowy!M20+Symulacja!M10+Symulacja!M9</f>
        <v>7780777.4199999999</v>
      </c>
      <c r="N20" s="251">
        <f>+WPF_bazowy!N20+Symulacja!N10+Symulacja!N9</f>
        <v>10785085</v>
      </c>
      <c r="O20" s="252">
        <f>+WPF_bazowy!O20+Symulacja!O10+Symulacja!O9</f>
        <v>22250000</v>
      </c>
      <c r="P20" s="252">
        <f>+WPF_bazowy!P20+Symulacja!P10+Symulacja!P9</f>
        <v>500000</v>
      </c>
      <c r="Q20" s="252">
        <f>+WPF_bazowy!Q20+Symulacja!Q10+Symulacja!Q9</f>
        <v>500000</v>
      </c>
      <c r="R20" s="252">
        <f>+WPF_bazowy!R20+Symulacja!R10+Symulacja!R9</f>
        <v>500000</v>
      </c>
      <c r="S20" s="252">
        <f>+WPF_bazowy!S20+Symulacja!S10+Symulacja!S9</f>
        <v>500000</v>
      </c>
      <c r="T20" s="252">
        <f>+WPF_bazowy!T20+Symulacja!T10+Symulacja!T9</f>
        <v>500000</v>
      </c>
      <c r="U20" s="252">
        <f>+WPF_bazowy!U20+Symulacja!U10+Symulacja!U9</f>
        <v>500000</v>
      </c>
      <c r="V20" s="252">
        <f>+WPF_bazowy!V20+Symulacja!V10+Symulacja!V9</f>
        <v>500000</v>
      </c>
      <c r="W20" s="252">
        <f>+WPF_bazowy!W20+Symulacja!W10+Symulacja!W9</f>
        <v>500000</v>
      </c>
      <c r="X20" s="252">
        <f>+WPF_bazowy!X20+Symulacja!X10+Symulacja!X9</f>
        <v>0</v>
      </c>
      <c r="Y20" s="252">
        <f>+WPF_bazowy!Y20+Symulacja!Y10+Symulacja!Y9</f>
        <v>0</v>
      </c>
      <c r="Z20" s="252">
        <f>+WPF_bazowy!Z20+Symulacja!Z10+Symulacja!Z9</f>
        <v>0</v>
      </c>
      <c r="AA20" s="252">
        <f>+WPF_bazowy!AA20+Symulacja!AA10+Symulacja!AA9</f>
        <v>0</v>
      </c>
      <c r="AB20" s="252">
        <f>+WPF_bazowy!AB20+Symulacja!AB10+Symulacja!AB9</f>
        <v>0</v>
      </c>
      <c r="AC20" s="252">
        <f>+WPF_bazowy!AC20+Symulacja!AC10+Symulacja!AC9</f>
        <v>0</v>
      </c>
      <c r="AD20" s="252">
        <f>+WPF_bazowy!AD20+Symulacja!AD10+Symulacja!AD9</f>
        <v>0</v>
      </c>
      <c r="AE20" s="252">
        <f>+WPF_bazowy!AE20+Symulacja!AE10+Symulacja!AE9</f>
        <v>0</v>
      </c>
      <c r="AF20" s="252">
        <f>+WPF_bazowy!AF20+Symulacja!AF10+Symulacja!AF9</f>
        <v>0</v>
      </c>
      <c r="AG20" s="252">
        <f>+WPF_bazowy!AG20+Symulacja!AG10+Symulacja!AG9</f>
        <v>0</v>
      </c>
      <c r="AH20" s="252">
        <f>+WPF_bazowy!AH20+Symulacja!AH10+Symulacja!AH9</f>
        <v>0</v>
      </c>
      <c r="AI20" s="252">
        <f>+WPF_bazowy!AI20+Symulacja!AI10+Symulacja!AI9</f>
        <v>0</v>
      </c>
      <c r="AJ20" s="252">
        <f>+WPF_bazowy!AJ20+Symulacja!AJ10+Symulacja!AJ9</f>
        <v>0</v>
      </c>
      <c r="AK20" s="252">
        <f>+WPF_bazowy!AK20+Symulacja!AK10+Symulacja!AK9</f>
        <v>0</v>
      </c>
      <c r="AL20" s="252">
        <f>+WPF_bazowy!AL20+Symulacja!AL10+Symulacja!AL9</f>
        <v>0</v>
      </c>
      <c r="AM20" s="252">
        <f>+WPF_bazowy!AM20+Symulacja!AM10+Symulacja!AM9</f>
        <v>0</v>
      </c>
      <c r="AN20" s="252">
        <f>+WPF_bazowy!AN20+Symulacja!AN10+Symulacja!AN9</f>
        <v>0</v>
      </c>
      <c r="AO20" s="252">
        <f>+WPF_bazowy!AO20+Symulacja!AO10+Symulacja!AO9</f>
        <v>0</v>
      </c>
      <c r="AP20" s="252">
        <f>+WPF_bazowy!AP20+Symulacja!AP10+Symulacja!AP9</f>
        <v>0</v>
      </c>
      <c r="AQ20" s="252">
        <f>+WPF_bazowy!AQ20+Symulacja!AQ10+Symulacja!AQ9</f>
        <v>0</v>
      </c>
      <c r="AR20" s="252">
        <f>+WPF_bazowy!AR20+Symulacja!AR10+Symulacja!AR9</f>
        <v>0</v>
      </c>
      <c r="AS20" s="252">
        <f>+WPF_bazowy!AS20+Symulacja!AS10+Symulacja!AS9</f>
        <v>0</v>
      </c>
      <c r="AT20" s="252">
        <f>+WPF_bazowy!AT20+Symulacja!AT10+Symulacja!AT9</f>
        <v>0</v>
      </c>
      <c r="AU20" s="252">
        <f>+WPF_bazowy!AU20+Symulacja!AU10+Symulacja!AU9</f>
        <v>0</v>
      </c>
      <c r="AV20" s="252">
        <f>+WPF_bazowy!AV20+Symulacja!AV10+Symulacja!AV9</f>
        <v>0</v>
      </c>
      <c r="AW20" s="252">
        <f>+WPF_bazowy!AW20+Symulacja!AW10+Symulacja!AW9</f>
        <v>0</v>
      </c>
      <c r="AX20" s="252">
        <f>+WPF_bazowy!AX20+Symulacja!AX10+Symulacja!AX9</f>
        <v>0</v>
      </c>
      <c r="AY20" s="252">
        <f>+WPF_bazowy!AY20+Symulacja!AY10+Symulacja!AY9</f>
        <v>0</v>
      </c>
      <c r="AZ20" s="252">
        <f>+WPF_bazowy!AZ20+Symulacja!AZ10+Symulacja!AZ9</f>
        <v>0</v>
      </c>
      <c r="BA20" s="253">
        <f>+WPF_bazowy!BA20+Symulacja!BA10+Symulacja!BA9</f>
        <v>0</v>
      </c>
    </row>
    <row r="21" spans="1:54" ht="15">
      <c r="A21" s="127" t="s">
        <v>27</v>
      </c>
      <c r="B21" s="238" t="s">
        <v>27</v>
      </c>
      <c r="C21" s="170">
        <v>2</v>
      </c>
      <c r="D21" s="169"/>
      <c r="E21" s="222" t="s">
        <v>19</v>
      </c>
      <c r="F21" s="164">
        <f>+WPF_bazowy!F21+Symulacja!F13+Symulacja!F15+Symulacja!F14+Symulacja!F16+Symulacja!F32+Symulacja!F36</f>
        <v>38402771.200000003</v>
      </c>
      <c r="G21" s="164">
        <f>+WPF_bazowy!G21+Symulacja!G13+Symulacja!G15+Symulacja!G14+Symulacja!G16+Symulacja!G32+Symulacja!G36</f>
        <v>40595412.700000003</v>
      </c>
      <c r="H21" s="164">
        <f>+WPF_bazowy!H21+Symulacja!H13+Symulacja!H15+Symulacja!H14+Symulacja!H16+Symulacja!H32+Symulacja!H36</f>
        <v>41118955.219999999</v>
      </c>
      <c r="I21" s="164">
        <f>+WPF_bazowy!I21+Symulacja!I13+Symulacja!I15+Symulacja!I14+Symulacja!I16+Symulacja!I32+Symulacja!I36</f>
        <v>48929065.770000003</v>
      </c>
      <c r="J21" s="164">
        <f>+WPF_bazowy!J21+Symulacja!J13+Symulacja!J15+Symulacja!J14+Symulacja!J16+Symulacja!J32+Symulacja!J36</f>
        <v>53554013.270000003</v>
      </c>
      <c r="K21" s="165">
        <f>+WPF_bazowy!K21+Symulacja!K13+Symulacja!K15+Symulacja!K14+Symulacja!K16+Symulacja!K32+Symulacja!K36</f>
        <v>58686050.710000001</v>
      </c>
      <c r="L21" s="165">
        <f>+WPF_bazowy!L21+Symulacja!L13+Symulacja!L15+Symulacja!L14+Symulacja!L16+Symulacja!L32+Symulacja!L36</f>
        <v>65856292.649999999</v>
      </c>
      <c r="M21" s="172">
        <f>+ROUND(M22+M30,2)</f>
        <v>63094220.710000001</v>
      </c>
      <c r="N21" s="173">
        <f>+ROUND(N22+N30,2)</f>
        <v>75388933</v>
      </c>
      <c r="O21" s="174">
        <f>+ROUND(O22+O30,2)</f>
        <v>72658346</v>
      </c>
      <c r="P21" s="174">
        <f>+ROUND(P22+P30,2)</f>
        <v>51792637</v>
      </c>
      <c r="Q21" s="174">
        <f>+ROUND(Q22+Q30,2)</f>
        <v>53569905</v>
      </c>
      <c r="R21" s="174">
        <f t="shared" ref="R21:X21" si="5">+ROUND(R22+R30,2)</f>
        <v>55497351</v>
      </c>
      <c r="S21" s="174">
        <f t="shared" si="5"/>
        <v>57435260</v>
      </c>
      <c r="T21" s="174">
        <f t="shared" si="5"/>
        <v>59880124</v>
      </c>
      <c r="U21" s="174">
        <f t="shared" si="5"/>
        <v>61767408</v>
      </c>
      <c r="V21" s="174">
        <f t="shared" si="5"/>
        <v>63587663</v>
      </c>
      <c r="W21" s="174">
        <f t="shared" si="5"/>
        <v>65396118</v>
      </c>
      <c r="X21" s="174">
        <f t="shared" si="5"/>
        <v>66438813</v>
      </c>
      <c r="Y21" s="174">
        <f t="shared" ref="Y21:BA21" si="6">+ROUND(Y22+Y30,2)</f>
        <v>68211722</v>
      </c>
      <c r="Z21" s="174">
        <f t="shared" si="6"/>
        <v>0</v>
      </c>
      <c r="AA21" s="174">
        <f t="shared" si="6"/>
        <v>0</v>
      </c>
      <c r="AB21" s="174">
        <f t="shared" si="6"/>
        <v>0</v>
      </c>
      <c r="AC21" s="174">
        <f t="shared" si="6"/>
        <v>0</v>
      </c>
      <c r="AD21" s="174">
        <f t="shared" si="6"/>
        <v>0</v>
      </c>
      <c r="AE21" s="174">
        <f t="shared" si="6"/>
        <v>0</v>
      </c>
      <c r="AF21" s="174">
        <f t="shared" si="6"/>
        <v>0</v>
      </c>
      <c r="AG21" s="174">
        <f t="shared" si="6"/>
        <v>0</v>
      </c>
      <c r="AH21" s="174">
        <f t="shared" si="6"/>
        <v>0</v>
      </c>
      <c r="AI21" s="174">
        <f t="shared" si="6"/>
        <v>0</v>
      </c>
      <c r="AJ21" s="174">
        <f t="shared" si="6"/>
        <v>0</v>
      </c>
      <c r="AK21" s="174">
        <f t="shared" si="6"/>
        <v>0</v>
      </c>
      <c r="AL21" s="174">
        <f t="shared" si="6"/>
        <v>0</v>
      </c>
      <c r="AM21" s="174">
        <f t="shared" si="6"/>
        <v>0</v>
      </c>
      <c r="AN21" s="174">
        <f t="shared" si="6"/>
        <v>0</v>
      </c>
      <c r="AO21" s="174">
        <f t="shared" si="6"/>
        <v>0</v>
      </c>
      <c r="AP21" s="174">
        <f t="shared" si="6"/>
        <v>0</v>
      </c>
      <c r="AQ21" s="174">
        <f t="shared" si="6"/>
        <v>0</v>
      </c>
      <c r="AR21" s="174">
        <f t="shared" si="6"/>
        <v>0</v>
      </c>
      <c r="AS21" s="174">
        <f t="shared" si="6"/>
        <v>0</v>
      </c>
      <c r="AT21" s="174">
        <f t="shared" si="6"/>
        <v>0</v>
      </c>
      <c r="AU21" s="174">
        <f t="shared" si="6"/>
        <v>0</v>
      </c>
      <c r="AV21" s="174">
        <f t="shared" si="6"/>
        <v>0</v>
      </c>
      <c r="AW21" s="174">
        <f t="shared" si="6"/>
        <v>0</v>
      </c>
      <c r="AX21" s="174">
        <f t="shared" si="6"/>
        <v>0</v>
      </c>
      <c r="AY21" s="174">
        <f t="shared" si="6"/>
        <v>0</v>
      </c>
      <c r="AZ21" s="174">
        <f t="shared" si="6"/>
        <v>0</v>
      </c>
      <c r="BA21" s="172">
        <f t="shared" si="6"/>
        <v>0</v>
      </c>
      <c r="BB21" s="153"/>
    </row>
    <row r="22" spans="1:54" outlineLevel="1">
      <c r="A22" s="127" t="s">
        <v>27</v>
      </c>
      <c r="B22" s="238" t="s">
        <v>27</v>
      </c>
      <c r="C22" s="162" t="s">
        <v>53</v>
      </c>
      <c r="D22" s="163" t="s">
        <v>359</v>
      </c>
      <c r="E22" s="234" t="s">
        <v>86</v>
      </c>
      <c r="F22" s="164">
        <f>+WPF_bazowy!F22+Symulacja!F13+Symulacja!F15+Symulacja!F14+Symulacja!F32+Symulacja!F36</f>
        <v>31632400.23</v>
      </c>
      <c r="G22" s="164">
        <f>+WPF_bazowy!G22+Symulacja!G13+Symulacja!G15+Symulacja!G14+Symulacja!G32+Symulacja!G36</f>
        <v>32166844.719999999</v>
      </c>
      <c r="H22" s="164">
        <f>+WPF_bazowy!H22+Symulacja!H13+Symulacja!H15+Symulacja!H14+Symulacja!H32+Symulacja!H36</f>
        <v>34480864.689999998</v>
      </c>
      <c r="I22" s="164">
        <f>+WPF_bazowy!I22+Symulacja!I13+Symulacja!I15+Symulacja!I14+Symulacja!I32+Symulacja!I36</f>
        <v>36229255.329999998</v>
      </c>
      <c r="J22" s="164">
        <f>+WPF_bazowy!J22+Symulacja!J13+Symulacja!J15+Symulacja!J14+Symulacja!J32+Symulacja!J36</f>
        <v>39452545.939999998</v>
      </c>
      <c r="K22" s="165">
        <f>+WPF_bazowy!K22+Symulacja!K13+Symulacja!K15+Symulacja!K14+Symulacja!K32+Symulacja!K36</f>
        <v>43297686.590000004</v>
      </c>
      <c r="L22" s="165">
        <f>+WPF_bazowy!L22+Symulacja!L13+Symulacja!L15+Symulacja!L14+Symulacja!L32+Symulacja!L36</f>
        <v>47636304.649999999</v>
      </c>
      <c r="M22" s="250">
        <f>+WPF_bazowy!M22+Symulacja!M13+Symulacja!M15+Symulacja!M14+Symulacja!M32+Symulacja!M36</f>
        <v>47627584.740000002</v>
      </c>
      <c r="N22" s="251">
        <f>+WPF_bazowy!N22+Symulacja!N13+Symulacja!N15+Symulacja!N14+Symulacja!N32+Symulacja!N36</f>
        <v>48854045</v>
      </c>
      <c r="O22" s="252">
        <f>+WPF_bazowy!O22+Symulacja!O13+Symulacja!O15+Symulacja!O14+Symulacja!O32+Symulacja!O36</f>
        <v>49503492</v>
      </c>
      <c r="P22" s="252">
        <f>+WPF_bazowy!P22+Symulacja!P13+Symulacja!P15+Symulacja!P14+Symulacja!P32+Symulacja!P36</f>
        <v>50762353</v>
      </c>
      <c r="Q22" s="252">
        <f>+WPF_bazowy!Q22+Symulacja!Q13+Symulacja!Q15+Symulacja!Q14+Symulacja!Q32+Symulacja!Q36</f>
        <v>51956372</v>
      </c>
      <c r="R22" s="252">
        <f>+WPF_bazowy!R22+Symulacja!R13+Symulacja!R15+Symulacja!R14+Symulacja!R32+Symulacja!R36</f>
        <v>53180446</v>
      </c>
      <c r="S22" s="252">
        <f>+WPF_bazowy!S22+Symulacja!S13+Symulacja!S15+Symulacja!S14+Symulacja!S32+Symulacja!S36</f>
        <v>54436717</v>
      </c>
      <c r="T22" s="252">
        <f>+WPF_bazowy!T22+Symulacja!T13+Symulacja!T15+Symulacja!T14+Symulacja!T32+Symulacja!T36</f>
        <v>55733965</v>
      </c>
      <c r="U22" s="252">
        <f>+WPF_bazowy!U22+Symulacja!U13+Symulacja!U15+Symulacja!U14+Symulacja!U32+Symulacja!U36</f>
        <v>57077015</v>
      </c>
      <c r="V22" s="252">
        <f>+WPF_bazowy!V22+Symulacja!V13+Symulacja!V15+Symulacja!V14+Symulacja!V32+Symulacja!V36</f>
        <v>58460737</v>
      </c>
      <c r="W22" s="252">
        <f>+WPF_bazowy!W22+Symulacja!W13+Symulacja!W15+Symulacja!W14+Symulacja!W32+Symulacja!W36</f>
        <v>59881998</v>
      </c>
      <c r="X22" s="252">
        <f>+WPF_bazowy!X22+Symulacja!X13+Symulacja!X15+Symulacja!X14+Symulacja!X32+Symulacja!X36</f>
        <v>61326987</v>
      </c>
      <c r="Y22" s="252">
        <f>+WPF_bazowy!Y22+Symulacja!Y13+Symulacja!Y15+Symulacja!Y14+Symulacja!Y32+Symulacja!Y36</f>
        <v>62796615</v>
      </c>
      <c r="Z22" s="252">
        <f>+WPF_bazowy!Z22+Symulacja!Z13+Symulacja!Z15+Symulacja!Z14+Symulacja!Z32+Symulacja!Z36</f>
        <v>0</v>
      </c>
      <c r="AA22" s="252">
        <f>+WPF_bazowy!AA22+Symulacja!AA13+Symulacja!AA15+Symulacja!AA14+Symulacja!AA32+Symulacja!AA36</f>
        <v>0</v>
      </c>
      <c r="AB22" s="252">
        <f>+WPF_bazowy!AB22+Symulacja!AB13+Symulacja!AB15+Symulacja!AB14+Symulacja!AB32+Symulacja!AB36</f>
        <v>0</v>
      </c>
      <c r="AC22" s="252">
        <f>+WPF_bazowy!AC22+Symulacja!AC13+Symulacja!AC15+Symulacja!AC14+Symulacja!AC32+Symulacja!AC36</f>
        <v>0</v>
      </c>
      <c r="AD22" s="252">
        <f>+WPF_bazowy!AD22+Symulacja!AD13+Symulacja!AD15+Symulacja!AD14+Symulacja!AD32+Symulacja!AD36</f>
        <v>0</v>
      </c>
      <c r="AE22" s="252">
        <f>+WPF_bazowy!AE22+Symulacja!AE13+Symulacja!AE15+Symulacja!AE14+Symulacja!AE32+Symulacja!AE36</f>
        <v>0</v>
      </c>
      <c r="AF22" s="252">
        <f>+WPF_bazowy!AF22+Symulacja!AF13+Symulacja!AF15+Symulacja!AF14+Symulacja!AF32+Symulacja!AF36</f>
        <v>0</v>
      </c>
      <c r="AG22" s="252">
        <f>+WPF_bazowy!AG22+Symulacja!AG13+Symulacja!AG15+Symulacja!AG14+Symulacja!AG32+Symulacja!AG36</f>
        <v>0</v>
      </c>
      <c r="AH22" s="252">
        <f>+WPF_bazowy!AH22+Symulacja!AH13+Symulacja!AH15+Symulacja!AH14+Symulacja!AH32+Symulacja!AH36</f>
        <v>0</v>
      </c>
      <c r="AI22" s="252">
        <f>+WPF_bazowy!AI22+Symulacja!AI13+Symulacja!AI15+Symulacja!AI14+Symulacja!AI32+Symulacja!AI36</f>
        <v>0</v>
      </c>
      <c r="AJ22" s="252">
        <f>+WPF_bazowy!AJ22+Symulacja!AJ13+Symulacja!AJ15+Symulacja!AJ14+Symulacja!AJ32+Symulacja!AJ36</f>
        <v>0</v>
      </c>
      <c r="AK22" s="252">
        <f>+WPF_bazowy!AK22+Symulacja!AK13+Symulacja!AK15+Symulacja!AK14+Symulacja!AK32+Symulacja!AK36</f>
        <v>0</v>
      </c>
      <c r="AL22" s="252">
        <f>+WPF_bazowy!AL22+Symulacja!AL13+Symulacja!AL15+Symulacja!AL14+Symulacja!AL32+Symulacja!AL36</f>
        <v>0</v>
      </c>
      <c r="AM22" s="252">
        <f>+WPF_bazowy!AM22+Symulacja!AM13+Symulacja!AM15+Symulacja!AM14+Symulacja!AM32+Symulacja!AM36</f>
        <v>0</v>
      </c>
      <c r="AN22" s="252">
        <f>+WPF_bazowy!AN22+Symulacja!AN13+Symulacja!AN15+Symulacja!AN14+Symulacja!AN32+Symulacja!AN36</f>
        <v>0</v>
      </c>
      <c r="AO22" s="252">
        <f>+WPF_bazowy!AO22+Symulacja!AO13+Symulacja!AO15+Symulacja!AO14+Symulacja!AO32+Symulacja!AO36</f>
        <v>0</v>
      </c>
      <c r="AP22" s="252">
        <f>+WPF_bazowy!AP22+Symulacja!AP13+Symulacja!AP15+Symulacja!AP14+Symulacja!AP32+Symulacja!AP36</f>
        <v>0</v>
      </c>
      <c r="AQ22" s="252">
        <f>+WPF_bazowy!AQ22+Symulacja!AQ13+Symulacja!AQ15+Symulacja!AQ14+Symulacja!AQ32+Symulacja!AQ36</f>
        <v>0</v>
      </c>
      <c r="AR22" s="252">
        <f>+WPF_bazowy!AR22+Symulacja!AR13+Symulacja!AR15+Symulacja!AR14+Symulacja!AR32+Symulacja!AR36</f>
        <v>0</v>
      </c>
      <c r="AS22" s="252">
        <f>+WPF_bazowy!AS22+Symulacja!AS13+Symulacja!AS15+Symulacja!AS14+Symulacja!AS32+Symulacja!AS36</f>
        <v>0</v>
      </c>
      <c r="AT22" s="252">
        <f>+WPF_bazowy!AT22+Symulacja!AT13+Symulacja!AT15+Symulacja!AT14+Symulacja!AT32+Symulacja!AT36</f>
        <v>0</v>
      </c>
      <c r="AU22" s="252">
        <f>+WPF_bazowy!AU22+Symulacja!AU13+Symulacja!AU15+Symulacja!AU14+Symulacja!AU32+Symulacja!AU36</f>
        <v>0</v>
      </c>
      <c r="AV22" s="252">
        <f>+WPF_bazowy!AV22+Symulacja!AV13+Symulacja!AV15+Symulacja!AV14+Symulacja!AV32+Symulacja!AV36</f>
        <v>0</v>
      </c>
      <c r="AW22" s="252">
        <f>+WPF_bazowy!AW22+Symulacja!AW13+Symulacja!AW15+Symulacja!AW14+Symulacja!AW32+Symulacja!AW36</f>
        <v>0</v>
      </c>
      <c r="AX22" s="252">
        <f>+WPF_bazowy!AX22+Symulacja!AX13+Symulacja!AX15+Symulacja!AX14+Symulacja!AX32+Symulacja!AX36</f>
        <v>0</v>
      </c>
      <c r="AY22" s="252">
        <f>+WPF_bazowy!AY22+Symulacja!AY13+Symulacja!AY15+Symulacja!AY14+Symulacja!AY32+Symulacja!AY36</f>
        <v>0</v>
      </c>
      <c r="AZ22" s="252">
        <f>+WPF_bazowy!AZ22+Symulacja!AZ13+Symulacja!AZ15+Symulacja!AZ14+Symulacja!AZ32+Symulacja!AZ36</f>
        <v>0</v>
      </c>
      <c r="BA22" s="253">
        <f>+WPF_bazowy!BA22+Symulacja!BA13+Symulacja!BA15+Symulacja!BA14+Symulacja!BA32+Symulacja!BA36</f>
        <v>0</v>
      </c>
    </row>
    <row r="23" spans="1:54" outlineLevel="2">
      <c r="C23" s="162" t="s">
        <v>39</v>
      </c>
      <c r="D23" s="169" t="s">
        <v>363</v>
      </c>
      <c r="E23" s="213" t="s">
        <v>315</v>
      </c>
      <c r="F23" s="164">
        <f>+WPF_bazowy!F23</f>
        <v>20618194.640000001</v>
      </c>
      <c r="G23" s="164">
        <f>+WPF_bazowy!G23</f>
        <v>20752530.140000001</v>
      </c>
      <c r="H23" s="164">
        <f>+WPF_bazowy!H23</f>
        <v>21840673.780000001</v>
      </c>
      <c r="I23" s="164">
        <f>+WPF_bazowy!I23</f>
        <v>22997667.43</v>
      </c>
      <c r="J23" s="164">
        <f>+WPF_bazowy!J23</f>
        <v>25151480.300000001</v>
      </c>
      <c r="K23" s="165">
        <f>+WPF_bazowy!K23</f>
        <v>27651950.510000002</v>
      </c>
      <c r="L23" s="165">
        <f>+WPF_bazowy!L23</f>
        <v>30086732.079999998</v>
      </c>
      <c r="M23" s="250">
        <f>+WPF_bazowy!M23</f>
        <v>30785011.420000002</v>
      </c>
      <c r="N23" s="164">
        <f>+WPF_bazowy!N23</f>
        <v>31180276</v>
      </c>
      <c r="O23" s="165">
        <f>+WPF_bazowy!O23</f>
        <v>32064184</v>
      </c>
      <c r="P23" s="165">
        <f>+WPF_bazowy!P23</f>
        <v>32929917</v>
      </c>
      <c r="Q23" s="165">
        <f>+WPF_bazowy!Q23</f>
        <v>33753165</v>
      </c>
      <c r="R23" s="165">
        <f>+WPF_bazowy!R23</f>
        <v>34596994</v>
      </c>
      <c r="S23" s="165">
        <f>+WPF_bazowy!S23</f>
        <v>35461919</v>
      </c>
      <c r="T23" s="165">
        <f>+WPF_bazowy!T23</f>
        <v>36348467</v>
      </c>
      <c r="U23" s="165">
        <f>+WPF_bazowy!U23</f>
        <v>37257179</v>
      </c>
      <c r="V23" s="165">
        <f>+WPF_bazowy!V23</f>
        <v>38188608</v>
      </c>
      <c r="W23" s="165">
        <f>+WPF_bazowy!W23</f>
        <v>39143323</v>
      </c>
      <c r="X23" s="165">
        <f>+WPF_bazowy!X23</f>
        <v>40121906</v>
      </c>
      <c r="Y23" s="165">
        <f>+WPF_bazowy!Y23</f>
        <v>41124954</v>
      </c>
      <c r="Z23" s="165">
        <f>+WPF_bazowy!Z23</f>
        <v>0</v>
      </c>
      <c r="AA23" s="165">
        <f>+WPF_bazowy!AA23</f>
        <v>0</v>
      </c>
      <c r="AB23" s="165">
        <f>+WPF_bazowy!AB23</f>
        <v>0</v>
      </c>
      <c r="AC23" s="165">
        <f>+WPF_bazowy!AC23</f>
        <v>0</v>
      </c>
      <c r="AD23" s="165">
        <f>+WPF_bazowy!AD23</f>
        <v>0</v>
      </c>
      <c r="AE23" s="165">
        <f>+WPF_bazowy!AE23</f>
        <v>0</v>
      </c>
      <c r="AF23" s="165">
        <f>+WPF_bazowy!AF23</f>
        <v>0</v>
      </c>
      <c r="AG23" s="165">
        <f>+WPF_bazowy!AG23</f>
        <v>0</v>
      </c>
      <c r="AH23" s="165">
        <f>+WPF_bazowy!AH23</f>
        <v>0</v>
      </c>
      <c r="AI23" s="165">
        <f>+WPF_bazowy!AI23</f>
        <v>0</v>
      </c>
      <c r="AJ23" s="165">
        <f>+WPF_bazowy!AJ23</f>
        <v>0</v>
      </c>
      <c r="AK23" s="165">
        <f>+WPF_bazowy!AK23</f>
        <v>0</v>
      </c>
      <c r="AL23" s="165">
        <f>+WPF_bazowy!AL23</f>
        <v>0</v>
      </c>
      <c r="AM23" s="165">
        <f>+WPF_bazowy!AM23</f>
        <v>0</v>
      </c>
      <c r="AN23" s="165">
        <f>+WPF_bazowy!AN23</f>
        <v>0</v>
      </c>
      <c r="AO23" s="165">
        <f>+WPF_bazowy!AO23</f>
        <v>0</v>
      </c>
      <c r="AP23" s="165">
        <f>+WPF_bazowy!AP23</f>
        <v>0</v>
      </c>
      <c r="AQ23" s="165">
        <f>+WPF_bazowy!AQ23</f>
        <v>0</v>
      </c>
      <c r="AR23" s="165">
        <f>+WPF_bazowy!AR23</f>
        <v>0</v>
      </c>
      <c r="AS23" s="165">
        <f>+WPF_bazowy!AS23</f>
        <v>0</v>
      </c>
      <c r="AT23" s="165">
        <f>+WPF_bazowy!AT23</f>
        <v>0</v>
      </c>
      <c r="AU23" s="165">
        <f>+WPF_bazowy!AU23</f>
        <v>0</v>
      </c>
      <c r="AV23" s="165">
        <f>+WPF_bazowy!AV23</f>
        <v>0</v>
      </c>
      <c r="AW23" s="165">
        <f>+WPF_bazowy!AW23</f>
        <v>0</v>
      </c>
      <c r="AX23" s="165">
        <f>+WPF_bazowy!AX23</f>
        <v>0</v>
      </c>
      <c r="AY23" s="165">
        <f>+WPF_bazowy!AY23</f>
        <v>0</v>
      </c>
      <c r="AZ23" s="165">
        <f>+WPF_bazowy!AZ23</f>
        <v>0</v>
      </c>
      <c r="BA23" s="178">
        <f>+WPF_bazowy!BA23</f>
        <v>0</v>
      </c>
    </row>
    <row r="24" spans="1:54" outlineLevel="2">
      <c r="A24" s="127" t="s">
        <v>27</v>
      </c>
      <c r="B24" s="238" t="s">
        <v>27</v>
      </c>
      <c r="C24" s="162" t="s">
        <v>40</v>
      </c>
      <c r="D24" s="169"/>
      <c r="E24" s="217" t="s">
        <v>87</v>
      </c>
      <c r="F24" s="164">
        <f>+WPF_bazowy!F24+Symulacja!F36</f>
        <v>0</v>
      </c>
      <c r="G24" s="164">
        <f>+WPF_bazowy!G24+Symulacja!G36</f>
        <v>0</v>
      </c>
      <c r="H24" s="164">
        <f>+WPF_bazowy!H24+Symulacja!H36</f>
        <v>0</v>
      </c>
      <c r="I24" s="164">
        <f>+WPF_bazowy!I24+Symulacja!I36</f>
        <v>0</v>
      </c>
      <c r="J24" s="164">
        <f>+WPF_bazowy!J24+Symulacja!J36</f>
        <v>0</v>
      </c>
      <c r="K24" s="165">
        <f>+WPF_bazowy!K24+Symulacja!K36</f>
        <v>0</v>
      </c>
      <c r="L24" s="165">
        <f>+WPF_bazowy!L24+Symulacja!L36</f>
        <v>0</v>
      </c>
      <c r="M24" s="250">
        <f>+WPF_bazowy!M24+Symulacja!M36</f>
        <v>0</v>
      </c>
      <c r="N24" s="251">
        <f>+WPF_bazowy!N24+Symulacja!N36</f>
        <v>0</v>
      </c>
      <c r="O24" s="252">
        <f>+WPF_bazowy!O24+Symulacja!O36</f>
        <v>0</v>
      </c>
      <c r="P24" s="252">
        <f>+WPF_bazowy!P24+Symulacja!P36</f>
        <v>0</v>
      </c>
      <c r="Q24" s="252">
        <f>+WPF_bazowy!Q24+Symulacja!Q36</f>
        <v>0</v>
      </c>
      <c r="R24" s="252">
        <f>+WPF_bazowy!R24+Symulacja!R36</f>
        <v>0</v>
      </c>
      <c r="S24" s="252">
        <f>+WPF_bazowy!S24+Symulacja!S36</f>
        <v>0</v>
      </c>
      <c r="T24" s="252">
        <f>+WPF_bazowy!T24+Symulacja!T36</f>
        <v>0</v>
      </c>
      <c r="U24" s="252">
        <f>+WPF_bazowy!U24+Symulacja!U36</f>
        <v>0</v>
      </c>
      <c r="V24" s="252">
        <f>+WPF_bazowy!V24+Symulacja!V36</f>
        <v>0</v>
      </c>
      <c r="W24" s="252">
        <f>+WPF_bazowy!W24+Symulacja!W36</f>
        <v>0</v>
      </c>
      <c r="X24" s="252">
        <f>+WPF_bazowy!X24+Symulacja!X36</f>
        <v>0</v>
      </c>
      <c r="Y24" s="252">
        <f>+WPF_bazowy!Y24+Symulacja!Y36</f>
        <v>0</v>
      </c>
      <c r="Z24" s="252">
        <f>+WPF_bazowy!Z24+Symulacja!Z36</f>
        <v>0</v>
      </c>
      <c r="AA24" s="252">
        <f>+WPF_bazowy!AA24+Symulacja!AA36</f>
        <v>0</v>
      </c>
      <c r="AB24" s="252">
        <f>+WPF_bazowy!AB24+Symulacja!AB36</f>
        <v>0</v>
      </c>
      <c r="AC24" s="252">
        <f>+WPF_bazowy!AC24+Symulacja!AC36</f>
        <v>0</v>
      </c>
      <c r="AD24" s="252">
        <f>+WPF_bazowy!AD24+Symulacja!AD36</f>
        <v>0</v>
      </c>
      <c r="AE24" s="252">
        <f>+WPF_bazowy!AE24+Symulacja!AE36</f>
        <v>0</v>
      </c>
      <c r="AF24" s="252">
        <f>+WPF_bazowy!AF24+Symulacja!AF36</f>
        <v>0</v>
      </c>
      <c r="AG24" s="252">
        <f>+WPF_bazowy!AG24+Symulacja!AG36</f>
        <v>0</v>
      </c>
      <c r="AH24" s="252">
        <f>+WPF_bazowy!AH24+Symulacja!AH36</f>
        <v>0</v>
      </c>
      <c r="AI24" s="252">
        <f>+WPF_bazowy!AI24+Symulacja!AI36</f>
        <v>0</v>
      </c>
      <c r="AJ24" s="252">
        <f>+WPF_bazowy!AJ24+Symulacja!AJ36</f>
        <v>0</v>
      </c>
      <c r="AK24" s="252">
        <f>+WPF_bazowy!AK24+Symulacja!AK36</f>
        <v>0</v>
      </c>
      <c r="AL24" s="252">
        <f>+WPF_bazowy!AL24+Symulacja!AL36</f>
        <v>0</v>
      </c>
      <c r="AM24" s="252">
        <f>+WPF_bazowy!AM24+Symulacja!AM36</f>
        <v>0</v>
      </c>
      <c r="AN24" s="252">
        <f>+WPF_bazowy!AN24+Symulacja!AN36</f>
        <v>0</v>
      </c>
      <c r="AO24" s="252">
        <f>+WPF_bazowy!AO24+Symulacja!AO36</f>
        <v>0</v>
      </c>
      <c r="AP24" s="252">
        <f>+WPF_bazowy!AP24+Symulacja!AP36</f>
        <v>0</v>
      </c>
      <c r="AQ24" s="252">
        <f>+WPF_bazowy!AQ24+Symulacja!AQ36</f>
        <v>0</v>
      </c>
      <c r="AR24" s="252">
        <f>+WPF_bazowy!AR24+Symulacja!AR36</f>
        <v>0</v>
      </c>
      <c r="AS24" s="252">
        <f>+WPF_bazowy!AS24+Symulacja!AS36</f>
        <v>0</v>
      </c>
      <c r="AT24" s="252">
        <f>+WPF_bazowy!AT24+Symulacja!AT36</f>
        <v>0</v>
      </c>
      <c r="AU24" s="252">
        <f>+WPF_bazowy!AU24+Symulacja!AU36</f>
        <v>0</v>
      </c>
      <c r="AV24" s="252">
        <f>+WPF_bazowy!AV24+Symulacja!AV36</f>
        <v>0</v>
      </c>
      <c r="AW24" s="252">
        <f>+WPF_bazowy!AW24+Symulacja!AW36</f>
        <v>0</v>
      </c>
      <c r="AX24" s="252">
        <f>+WPF_bazowy!AX24+Symulacja!AX36</f>
        <v>0</v>
      </c>
      <c r="AY24" s="252">
        <f>+WPF_bazowy!AY24+Symulacja!AY36</f>
        <v>0</v>
      </c>
      <c r="AZ24" s="252">
        <f>+WPF_bazowy!AZ24+Symulacja!AZ36</f>
        <v>0</v>
      </c>
      <c r="BA24" s="253">
        <f>+WPF_bazowy!BA24+Symulacja!BA36</f>
        <v>0</v>
      </c>
    </row>
    <row r="25" spans="1:54" outlineLevel="3">
      <c r="A25" s="127" t="s">
        <v>27</v>
      </c>
      <c r="B25" s="238" t="s">
        <v>27</v>
      </c>
      <c r="C25" s="162" t="s">
        <v>269</v>
      </c>
      <c r="D25" s="169"/>
      <c r="E25" s="232" t="s">
        <v>316</v>
      </c>
      <c r="F25" s="164">
        <f>+WPF_bazowy!F25+Symulacja!F37</f>
        <v>0</v>
      </c>
      <c r="G25" s="164">
        <f>+WPF_bazowy!G25+Symulacja!G37</f>
        <v>0</v>
      </c>
      <c r="H25" s="164">
        <f>+WPF_bazowy!H25+Symulacja!H37</f>
        <v>0</v>
      </c>
      <c r="I25" s="164">
        <f>+WPF_bazowy!I25+Symulacja!I37</f>
        <v>0</v>
      </c>
      <c r="J25" s="164">
        <f>+WPF_bazowy!J25+Symulacja!J37</f>
        <v>0</v>
      </c>
      <c r="K25" s="165">
        <f>+WPF_bazowy!K25+Symulacja!K37</f>
        <v>0</v>
      </c>
      <c r="L25" s="165">
        <f>+WPF_bazowy!L25+Symulacja!L37</f>
        <v>0</v>
      </c>
      <c r="M25" s="250">
        <f>+WPF_bazowy!M25+Symulacja!M37</f>
        <v>0</v>
      </c>
      <c r="N25" s="251">
        <f>+WPF_bazowy!N25+Symulacja!N37</f>
        <v>0</v>
      </c>
      <c r="O25" s="252">
        <f>+WPF_bazowy!O25+Symulacja!O37</f>
        <v>0</v>
      </c>
      <c r="P25" s="252">
        <f>+WPF_bazowy!P25+Symulacja!P37</f>
        <v>0</v>
      </c>
      <c r="Q25" s="252">
        <f>+WPF_bazowy!Q25+Symulacja!Q37</f>
        <v>0</v>
      </c>
      <c r="R25" s="252">
        <f>+WPF_bazowy!R25+Symulacja!R37</f>
        <v>0</v>
      </c>
      <c r="S25" s="252">
        <f>+WPF_bazowy!S25+Symulacja!S37</f>
        <v>0</v>
      </c>
      <c r="T25" s="252">
        <f>+WPF_bazowy!T25+Symulacja!T37</f>
        <v>0</v>
      </c>
      <c r="U25" s="252">
        <f>+WPF_bazowy!U25+Symulacja!U37</f>
        <v>0</v>
      </c>
      <c r="V25" s="252">
        <f>+WPF_bazowy!V25+Symulacja!V37</f>
        <v>0</v>
      </c>
      <c r="W25" s="252">
        <f>+WPF_bazowy!W25+Symulacja!W37</f>
        <v>0</v>
      </c>
      <c r="X25" s="252">
        <f>+WPF_bazowy!X25+Symulacja!X37</f>
        <v>0</v>
      </c>
      <c r="Y25" s="252">
        <f>+WPF_bazowy!Y25+Symulacja!Y37</f>
        <v>0</v>
      </c>
      <c r="Z25" s="252">
        <f>+WPF_bazowy!Z25+Symulacja!Z37</f>
        <v>0</v>
      </c>
      <c r="AA25" s="252">
        <f>+WPF_bazowy!AA25+Symulacja!AA37</f>
        <v>0</v>
      </c>
      <c r="AB25" s="252">
        <f>+WPF_bazowy!AB25+Symulacja!AB37</f>
        <v>0</v>
      </c>
      <c r="AC25" s="252">
        <f>+WPF_bazowy!AC25+Symulacja!AC37</f>
        <v>0</v>
      </c>
      <c r="AD25" s="252">
        <f>+WPF_bazowy!AD25+Symulacja!AD37</f>
        <v>0</v>
      </c>
      <c r="AE25" s="252">
        <f>+WPF_bazowy!AE25+Symulacja!AE37</f>
        <v>0</v>
      </c>
      <c r="AF25" s="252">
        <f>+WPF_bazowy!AF25+Symulacja!AF37</f>
        <v>0</v>
      </c>
      <c r="AG25" s="252">
        <f>+WPF_bazowy!AG25+Symulacja!AG37</f>
        <v>0</v>
      </c>
      <c r="AH25" s="252">
        <f>+WPF_bazowy!AH25+Symulacja!AH37</f>
        <v>0</v>
      </c>
      <c r="AI25" s="252">
        <f>+WPF_bazowy!AI25+Symulacja!AI37</f>
        <v>0</v>
      </c>
      <c r="AJ25" s="252">
        <f>+WPF_bazowy!AJ25+Symulacja!AJ37</f>
        <v>0</v>
      </c>
      <c r="AK25" s="252">
        <f>+WPF_bazowy!AK25+Symulacja!AK37</f>
        <v>0</v>
      </c>
      <c r="AL25" s="252">
        <f>+WPF_bazowy!AL25+Symulacja!AL37</f>
        <v>0</v>
      </c>
      <c r="AM25" s="252">
        <f>+WPF_bazowy!AM25+Symulacja!AM37</f>
        <v>0</v>
      </c>
      <c r="AN25" s="252">
        <f>+WPF_bazowy!AN25+Symulacja!AN37</f>
        <v>0</v>
      </c>
      <c r="AO25" s="252">
        <f>+WPF_bazowy!AO25+Symulacja!AO37</f>
        <v>0</v>
      </c>
      <c r="AP25" s="252">
        <f>+WPF_bazowy!AP25+Symulacja!AP37</f>
        <v>0</v>
      </c>
      <c r="AQ25" s="252">
        <f>+WPF_bazowy!AQ25+Symulacja!AQ37</f>
        <v>0</v>
      </c>
      <c r="AR25" s="252">
        <f>+WPF_bazowy!AR25+Symulacja!AR37</f>
        <v>0</v>
      </c>
      <c r="AS25" s="252">
        <f>+WPF_bazowy!AS25+Symulacja!AS37</f>
        <v>0</v>
      </c>
      <c r="AT25" s="252">
        <f>+WPF_bazowy!AT25+Symulacja!AT37</f>
        <v>0</v>
      </c>
      <c r="AU25" s="252">
        <f>+WPF_bazowy!AU25+Symulacja!AU37</f>
        <v>0</v>
      </c>
      <c r="AV25" s="252">
        <f>+WPF_bazowy!AV25+Symulacja!AV37</f>
        <v>0</v>
      </c>
      <c r="AW25" s="252">
        <f>+WPF_bazowy!AW25+Symulacja!AW37</f>
        <v>0</v>
      </c>
      <c r="AX25" s="252">
        <f>+WPF_bazowy!AX25+Symulacja!AX37</f>
        <v>0</v>
      </c>
      <c r="AY25" s="252">
        <f>+WPF_bazowy!AY25+Symulacja!AY37</f>
        <v>0</v>
      </c>
      <c r="AZ25" s="252">
        <f>+WPF_bazowy!AZ25+Symulacja!AZ37</f>
        <v>0</v>
      </c>
      <c r="BA25" s="253">
        <f>+WPF_bazowy!BA25+Symulacja!BA37</f>
        <v>0</v>
      </c>
    </row>
    <row r="26" spans="1:54" outlineLevel="2">
      <c r="A26" s="127" t="s">
        <v>27</v>
      </c>
      <c r="B26" s="238" t="s">
        <v>27</v>
      </c>
      <c r="C26" s="162" t="s">
        <v>41</v>
      </c>
      <c r="D26" s="169" t="s">
        <v>360</v>
      </c>
      <c r="E26" s="217" t="s">
        <v>88</v>
      </c>
      <c r="F26" s="164">
        <f>+WPF_bazowy!F26+Symulacja!F32</f>
        <v>529815.71</v>
      </c>
      <c r="G26" s="164">
        <f>+WPF_bazowy!G26+Symulacja!G32</f>
        <v>508206.82</v>
      </c>
      <c r="H26" s="164">
        <f>+WPF_bazowy!H26+Symulacja!H32</f>
        <v>477423.92</v>
      </c>
      <c r="I26" s="164">
        <f>+WPF_bazowy!I26+Symulacja!I32</f>
        <v>479123.18</v>
      </c>
      <c r="J26" s="164">
        <f>+WPF_bazowy!J26+Symulacja!J32</f>
        <v>430321.95</v>
      </c>
      <c r="K26" s="165">
        <f>+WPF_bazowy!K26+Symulacja!K32</f>
        <v>409548.06</v>
      </c>
      <c r="L26" s="165">
        <f>+WPF_bazowy!L26+Symulacja!L32</f>
        <v>320000</v>
      </c>
      <c r="M26" s="250">
        <f>+WPF_bazowy!M26+Symulacja!M32</f>
        <v>281727.40000000002</v>
      </c>
      <c r="N26" s="251">
        <f>+WPF_bazowy!N26+Symulacja!N32</f>
        <v>350000</v>
      </c>
      <c r="O26" s="252">
        <f>+WPF_bazowy!O26+Symulacja!O32</f>
        <v>566288</v>
      </c>
      <c r="P26" s="252">
        <f>+WPF_bazowy!P26+Symulacja!P32</f>
        <v>503844</v>
      </c>
      <c r="Q26" s="252">
        <f>+WPF_bazowy!Q26+Symulacja!Q32</f>
        <v>441400</v>
      </c>
      <c r="R26" s="252">
        <f>+WPF_bazowy!R26+Symulacja!R32</f>
        <v>377600</v>
      </c>
      <c r="S26" s="252">
        <f>+WPF_bazowy!S26+Symulacja!S32</f>
        <v>313800</v>
      </c>
      <c r="T26" s="252">
        <f>+WPF_bazowy!T26+Symulacja!T32</f>
        <v>257975</v>
      </c>
      <c r="U26" s="252">
        <f>+WPF_bazowy!U26+Symulacja!U32</f>
        <v>214125</v>
      </c>
      <c r="V26" s="252">
        <f>+WPF_bazowy!V26+Symulacja!V32</f>
        <v>176275</v>
      </c>
      <c r="W26" s="252">
        <f>+WPF_bazowy!W26+Symulacja!W32</f>
        <v>140425</v>
      </c>
      <c r="X26" s="252">
        <f>+WPF_bazowy!X26+Symulacja!X32</f>
        <v>91875</v>
      </c>
      <c r="Y26" s="252">
        <f>+WPF_bazowy!Y26+Symulacja!Y32</f>
        <v>30625</v>
      </c>
      <c r="Z26" s="252">
        <f>+WPF_bazowy!Z26+Symulacja!Z32</f>
        <v>0</v>
      </c>
      <c r="AA26" s="252">
        <f>+WPF_bazowy!AA26+Symulacja!AA32</f>
        <v>0</v>
      </c>
      <c r="AB26" s="252">
        <f>+WPF_bazowy!AB26+Symulacja!AB32</f>
        <v>0</v>
      </c>
      <c r="AC26" s="252">
        <f>+WPF_bazowy!AC26+Symulacja!AC32</f>
        <v>0</v>
      </c>
      <c r="AD26" s="252">
        <f>+WPF_bazowy!AD26+Symulacja!AD32</f>
        <v>0</v>
      </c>
      <c r="AE26" s="252">
        <f>+WPF_bazowy!AE26+Symulacja!AE32</f>
        <v>0</v>
      </c>
      <c r="AF26" s="252">
        <f>+WPF_bazowy!AF26+Symulacja!AF32</f>
        <v>0</v>
      </c>
      <c r="AG26" s="252">
        <f>+WPF_bazowy!AG26+Symulacja!AG32</f>
        <v>0</v>
      </c>
      <c r="AH26" s="252">
        <f>+WPF_bazowy!AH26+Symulacja!AH32</f>
        <v>0</v>
      </c>
      <c r="AI26" s="252">
        <f>+WPF_bazowy!AI26+Symulacja!AI32</f>
        <v>0</v>
      </c>
      <c r="AJ26" s="252">
        <f>+WPF_bazowy!AJ26+Symulacja!AJ32</f>
        <v>0</v>
      </c>
      <c r="AK26" s="252">
        <f>+WPF_bazowy!AK26+Symulacja!AK32</f>
        <v>0</v>
      </c>
      <c r="AL26" s="252">
        <f>+WPF_bazowy!AL26+Symulacja!AL32</f>
        <v>0</v>
      </c>
      <c r="AM26" s="252">
        <f>+WPF_bazowy!AM26+Symulacja!AM32</f>
        <v>0</v>
      </c>
      <c r="AN26" s="252">
        <f>+WPF_bazowy!AN26+Symulacja!AN32</f>
        <v>0</v>
      </c>
      <c r="AO26" s="252">
        <f>+WPF_bazowy!AO26+Symulacja!AO32</f>
        <v>0</v>
      </c>
      <c r="AP26" s="252">
        <f>+WPF_bazowy!AP26+Symulacja!AP32</f>
        <v>0</v>
      </c>
      <c r="AQ26" s="252">
        <f>+WPF_bazowy!AQ26+Symulacja!AQ32</f>
        <v>0</v>
      </c>
      <c r="AR26" s="252">
        <f>+WPF_bazowy!AR26+Symulacja!AR32</f>
        <v>0</v>
      </c>
      <c r="AS26" s="252">
        <f>+WPF_bazowy!AS26+Symulacja!AS32</f>
        <v>0</v>
      </c>
      <c r="AT26" s="252">
        <f>+WPF_bazowy!AT26+Symulacja!AT32</f>
        <v>0</v>
      </c>
      <c r="AU26" s="252">
        <f>+WPF_bazowy!AU26+Symulacja!AU32</f>
        <v>0</v>
      </c>
      <c r="AV26" s="252">
        <f>+WPF_bazowy!AV26+Symulacja!AV32</f>
        <v>0</v>
      </c>
      <c r="AW26" s="252">
        <f>+WPF_bazowy!AW26+Symulacja!AW32</f>
        <v>0</v>
      </c>
      <c r="AX26" s="252">
        <f>+WPF_bazowy!AX26+Symulacja!AX32</f>
        <v>0</v>
      </c>
      <c r="AY26" s="252">
        <f>+WPF_bazowy!AY26+Symulacja!AY32</f>
        <v>0</v>
      </c>
      <c r="AZ26" s="252">
        <f>+WPF_bazowy!AZ26+Symulacja!AZ32</f>
        <v>0</v>
      </c>
      <c r="BA26" s="253">
        <f>+WPF_bazowy!BA26+Symulacja!BA32</f>
        <v>0</v>
      </c>
    </row>
    <row r="27" spans="1:54" ht="40.5" outlineLevel="3">
      <c r="A27" s="127" t="s">
        <v>27</v>
      </c>
      <c r="B27" s="238" t="s">
        <v>27</v>
      </c>
      <c r="C27" s="162" t="s">
        <v>42</v>
      </c>
      <c r="D27" s="169"/>
      <c r="E27" s="232" t="s">
        <v>172</v>
      </c>
      <c r="F27" s="164">
        <f>+WPF_bazowy!F27+Symulacja!F33</f>
        <v>0</v>
      </c>
      <c r="G27" s="164">
        <f>+WPF_bazowy!G27+Symulacja!G33</f>
        <v>0</v>
      </c>
      <c r="H27" s="164">
        <f>+WPF_bazowy!H27+Symulacja!H33</f>
        <v>0</v>
      </c>
      <c r="I27" s="164">
        <f>+WPF_bazowy!I27+Symulacja!I33</f>
        <v>0</v>
      </c>
      <c r="J27" s="164">
        <f>+WPF_bazowy!J27+Symulacja!J33</f>
        <v>0</v>
      </c>
      <c r="K27" s="165">
        <f>+WPF_bazowy!K27+Symulacja!K33</f>
        <v>0</v>
      </c>
      <c r="L27" s="165">
        <f>+WPF_bazowy!L27+Symulacja!L33</f>
        <v>0</v>
      </c>
      <c r="M27" s="250">
        <f>+WPF_bazowy!M27+Symulacja!M33</f>
        <v>0</v>
      </c>
      <c r="N27" s="251">
        <f>+WPF_bazowy!N27+Symulacja!N33</f>
        <v>0</v>
      </c>
      <c r="O27" s="252">
        <f>+WPF_bazowy!O27+Symulacja!O33</f>
        <v>0</v>
      </c>
      <c r="P27" s="252">
        <f>+WPF_bazowy!P27+Symulacja!P33</f>
        <v>0</v>
      </c>
      <c r="Q27" s="252">
        <f>+WPF_bazowy!Q27+Symulacja!Q33</f>
        <v>0</v>
      </c>
      <c r="R27" s="252">
        <f>+WPF_bazowy!R27+Symulacja!R33</f>
        <v>0</v>
      </c>
      <c r="S27" s="252">
        <f>+WPF_bazowy!S27+Symulacja!S33</f>
        <v>0</v>
      </c>
      <c r="T27" s="252">
        <f>+WPF_bazowy!T27+Symulacja!T33</f>
        <v>0</v>
      </c>
      <c r="U27" s="252">
        <f>+WPF_bazowy!U27+Symulacja!U33</f>
        <v>0</v>
      </c>
      <c r="V27" s="252">
        <f>+WPF_bazowy!V27+Symulacja!V33</f>
        <v>0</v>
      </c>
      <c r="W27" s="252">
        <f>+WPF_bazowy!W27+Symulacja!W33</f>
        <v>0</v>
      </c>
      <c r="X27" s="252">
        <f>+WPF_bazowy!X27+Symulacja!X33</f>
        <v>0</v>
      </c>
      <c r="Y27" s="252">
        <f>+WPF_bazowy!Y27+Symulacja!Y33</f>
        <v>0</v>
      </c>
      <c r="Z27" s="252">
        <f>+WPF_bazowy!Z27+Symulacja!Z33</f>
        <v>0</v>
      </c>
      <c r="AA27" s="252">
        <f>+WPF_bazowy!AA27+Symulacja!AA33</f>
        <v>0</v>
      </c>
      <c r="AB27" s="252">
        <f>+WPF_bazowy!AB27+Symulacja!AB33</f>
        <v>0</v>
      </c>
      <c r="AC27" s="252">
        <f>+WPF_bazowy!AC27+Symulacja!AC33</f>
        <v>0</v>
      </c>
      <c r="AD27" s="252">
        <f>+WPF_bazowy!AD27+Symulacja!AD33</f>
        <v>0</v>
      </c>
      <c r="AE27" s="252">
        <f>+WPF_bazowy!AE27+Symulacja!AE33</f>
        <v>0</v>
      </c>
      <c r="AF27" s="252">
        <f>+WPF_bazowy!AF27+Symulacja!AF33</f>
        <v>0</v>
      </c>
      <c r="AG27" s="252">
        <f>+WPF_bazowy!AG27+Symulacja!AG33</f>
        <v>0</v>
      </c>
      <c r="AH27" s="252">
        <f>+WPF_bazowy!AH27+Symulacja!AH33</f>
        <v>0</v>
      </c>
      <c r="AI27" s="252">
        <f>+WPF_bazowy!AI27+Symulacja!AI33</f>
        <v>0</v>
      </c>
      <c r="AJ27" s="252">
        <f>+WPF_bazowy!AJ27+Symulacja!AJ33</f>
        <v>0</v>
      </c>
      <c r="AK27" s="252">
        <f>+WPF_bazowy!AK27+Symulacja!AK33</f>
        <v>0</v>
      </c>
      <c r="AL27" s="252">
        <f>+WPF_bazowy!AL27+Symulacja!AL33</f>
        <v>0</v>
      </c>
      <c r="AM27" s="252">
        <f>+WPF_bazowy!AM27+Symulacja!AM33</f>
        <v>0</v>
      </c>
      <c r="AN27" s="252">
        <f>+WPF_bazowy!AN27+Symulacja!AN33</f>
        <v>0</v>
      </c>
      <c r="AO27" s="252">
        <f>+WPF_bazowy!AO27+Symulacja!AO33</f>
        <v>0</v>
      </c>
      <c r="AP27" s="252">
        <f>+WPF_bazowy!AP27+Symulacja!AP33</f>
        <v>0</v>
      </c>
      <c r="AQ27" s="252">
        <f>+WPF_bazowy!AQ27+Symulacja!AQ33</f>
        <v>0</v>
      </c>
      <c r="AR27" s="252">
        <f>+WPF_bazowy!AR27+Symulacja!AR33</f>
        <v>0</v>
      </c>
      <c r="AS27" s="252">
        <f>+WPF_bazowy!AS27+Symulacja!AS33</f>
        <v>0</v>
      </c>
      <c r="AT27" s="252">
        <f>+WPF_bazowy!AT27+Symulacja!AT33</f>
        <v>0</v>
      </c>
      <c r="AU27" s="252">
        <f>+WPF_bazowy!AU27+Symulacja!AU33</f>
        <v>0</v>
      </c>
      <c r="AV27" s="252">
        <f>+WPF_bazowy!AV27+Symulacja!AV33</f>
        <v>0</v>
      </c>
      <c r="AW27" s="252">
        <f>+WPF_bazowy!AW27+Symulacja!AW33</f>
        <v>0</v>
      </c>
      <c r="AX27" s="252">
        <f>+WPF_bazowy!AX27+Symulacja!AX33</f>
        <v>0</v>
      </c>
      <c r="AY27" s="252">
        <f>+WPF_bazowy!AY27+Symulacja!AY33</f>
        <v>0</v>
      </c>
      <c r="AZ27" s="252">
        <f>+WPF_bazowy!AZ27+Symulacja!AZ33</f>
        <v>0</v>
      </c>
      <c r="BA27" s="253">
        <f>+WPF_bazowy!BA27+Symulacja!BA33</f>
        <v>0</v>
      </c>
    </row>
    <row r="28" spans="1:54" ht="27" outlineLevel="3">
      <c r="A28" s="127" t="s">
        <v>27</v>
      </c>
      <c r="B28" s="238" t="s">
        <v>27</v>
      </c>
      <c r="C28" s="162" t="s">
        <v>270</v>
      </c>
      <c r="D28" s="169"/>
      <c r="E28" s="232" t="s">
        <v>317</v>
      </c>
      <c r="F28" s="164">
        <f>+WPF_bazowy!F28+Symulacja!F34</f>
        <v>0</v>
      </c>
      <c r="G28" s="164">
        <f>+WPF_bazowy!G28+Symulacja!G34</f>
        <v>0</v>
      </c>
      <c r="H28" s="164">
        <f>+WPF_bazowy!H28+Symulacja!H34</f>
        <v>0</v>
      </c>
      <c r="I28" s="164">
        <f>+WPF_bazowy!I28+Symulacja!I34</f>
        <v>0</v>
      </c>
      <c r="J28" s="164">
        <f>+WPF_bazowy!J28+Symulacja!J34</f>
        <v>0</v>
      </c>
      <c r="K28" s="165">
        <f>+WPF_bazowy!K28+Symulacja!K34</f>
        <v>0</v>
      </c>
      <c r="L28" s="165">
        <f>+WPF_bazowy!L28+Symulacja!L34</f>
        <v>0</v>
      </c>
      <c r="M28" s="250">
        <f>+WPF_bazowy!M28+Symulacja!M34</f>
        <v>0</v>
      </c>
      <c r="N28" s="251">
        <f>+WPF_bazowy!N28+Symulacja!N34</f>
        <v>0</v>
      </c>
      <c r="O28" s="252">
        <f>+WPF_bazowy!O28+Symulacja!O34</f>
        <v>0</v>
      </c>
      <c r="P28" s="252">
        <f>+WPF_bazowy!P28+Symulacja!P34</f>
        <v>0</v>
      </c>
      <c r="Q28" s="252">
        <f>+WPF_bazowy!Q28+Symulacja!Q34</f>
        <v>0</v>
      </c>
      <c r="R28" s="252">
        <f>+WPF_bazowy!R28+Symulacja!R34</f>
        <v>0</v>
      </c>
      <c r="S28" s="252">
        <f>+WPF_bazowy!S28+Symulacja!S34</f>
        <v>0</v>
      </c>
      <c r="T28" s="252">
        <f>+WPF_bazowy!T28+Symulacja!T34</f>
        <v>0</v>
      </c>
      <c r="U28" s="252">
        <f>+WPF_bazowy!U28+Symulacja!U34</f>
        <v>0</v>
      </c>
      <c r="V28" s="252">
        <f>+WPF_bazowy!V28+Symulacja!V34</f>
        <v>0</v>
      </c>
      <c r="W28" s="252">
        <f>+WPF_bazowy!W28+Symulacja!W34</f>
        <v>0</v>
      </c>
      <c r="X28" s="252">
        <f>+WPF_bazowy!X28+Symulacja!X34</f>
        <v>0</v>
      </c>
      <c r="Y28" s="252">
        <f>+WPF_bazowy!Y28+Symulacja!Y34</f>
        <v>0</v>
      </c>
      <c r="Z28" s="252">
        <f>+WPF_bazowy!Z28+Symulacja!Z34</f>
        <v>0</v>
      </c>
      <c r="AA28" s="252">
        <f>+WPF_bazowy!AA28+Symulacja!AA34</f>
        <v>0</v>
      </c>
      <c r="AB28" s="252">
        <f>+WPF_bazowy!AB28+Symulacja!AB34</f>
        <v>0</v>
      </c>
      <c r="AC28" s="252">
        <f>+WPF_bazowy!AC28+Symulacja!AC34</f>
        <v>0</v>
      </c>
      <c r="AD28" s="252">
        <f>+WPF_bazowy!AD28+Symulacja!AD34</f>
        <v>0</v>
      </c>
      <c r="AE28" s="252">
        <f>+WPF_bazowy!AE28+Symulacja!AE34</f>
        <v>0</v>
      </c>
      <c r="AF28" s="252">
        <f>+WPF_bazowy!AF28+Symulacja!AF34</f>
        <v>0</v>
      </c>
      <c r="AG28" s="252">
        <f>+WPF_bazowy!AG28+Symulacja!AG34</f>
        <v>0</v>
      </c>
      <c r="AH28" s="252">
        <f>+WPF_bazowy!AH28+Symulacja!AH34</f>
        <v>0</v>
      </c>
      <c r="AI28" s="252">
        <f>+WPF_bazowy!AI28+Symulacja!AI34</f>
        <v>0</v>
      </c>
      <c r="AJ28" s="252">
        <f>+WPF_bazowy!AJ28+Symulacja!AJ34</f>
        <v>0</v>
      </c>
      <c r="AK28" s="252">
        <f>+WPF_bazowy!AK28+Symulacja!AK34</f>
        <v>0</v>
      </c>
      <c r="AL28" s="252">
        <f>+WPF_bazowy!AL28+Symulacja!AL34</f>
        <v>0</v>
      </c>
      <c r="AM28" s="252">
        <f>+WPF_bazowy!AM28+Symulacja!AM34</f>
        <v>0</v>
      </c>
      <c r="AN28" s="252">
        <f>+WPF_bazowy!AN28+Symulacja!AN34</f>
        <v>0</v>
      </c>
      <c r="AO28" s="252">
        <f>+WPF_bazowy!AO28+Symulacja!AO34</f>
        <v>0</v>
      </c>
      <c r="AP28" s="252">
        <f>+WPF_bazowy!AP28+Symulacja!AP34</f>
        <v>0</v>
      </c>
      <c r="AQ28" s="252">
        <f>+WPF_bazowy!AQ28+Symulacja!AQ34</f>
        <v>0</v>
      </c>
      <c r="AR28" s="252">
        <f>+WPF_bazowy!AR28+Symulacja!AR34</f>
        <v>0</v>
      </c>
      <c r="AS28" s="252">
        <f>+WPF_bazowy!AS28+Symulacja!AS34</f>
        <v>0</v>
      </c>
      <c r="AT28" s="252">
        <f>+WPF_bazowy!AT28+Symulacja!AT34</f>
        <v>0</v>
      </c>
      <c r="AU28" s="252">
        <f>+WPF_bazowy!AU28+Symulacja!AU34</f>
        <v>0</v>
      </c>
      <c r="AV28" s="252">
        <f>+WPF_bazowy!AV28+Symulacja!AV34</f>
        <v>0</v>
      </c>
      <c r="AW28" s="252">
        <f>+WPF_bazowy!AW28+Symulacja!AW34</f>
        <v>0</v>
      </c>
      <c r="AX28" s="252">
        <f>+WPF_bazowy!AX28+Symulacja!AX34</f>
        <v>0</v>
      </c>
      <c r="AY28" s="252">
        <f>+WPF_bazowy!AY28+Symulacja!AY34</f>
        <v>0</v>
      </c>
      <c r="AZ28" s="252">
        <f>+WPF_bazowy!AZ28+Symulacja!AZ34</f>
        <v>0</v>
      </c>
      <c r="BA28" s="253">
        <f>+WPF_bazowy!BA28+Symulacja!BA34</f>
        <v>0</v>
      </c>
    </row>
    <row r="29" spans="1:54" outlineLevel="3">
      <c r="A29" s="238" t="s">
        <v>27</v>
      </c>
      <c r="B29" s="238" t="s">
        <v>27</v>
      </c>
      <c r="C29" s="162" t="s">
        <v>582</v>
      </c>
      <c r="D29" s="169"/>
      <c r="E29" s="232" t="s">
        <v>644</v>
      </c>
      <c r="F29" s="164">
        <f>+WPF_bazowy!F29+Symulacja!F35</f>
        <v>0</v>
      </c>
      <c r="G29" s="164">
        <f>+WPF_bazowy!G29+Symulacja!G35</f>
        <v>0</v>
      </c>
      <c r="H29" s="164">
        <f>+WPF_bazowy!H29+Symulacja!H35</f>
        <v>0</v>
      </c>
      <c r="I29" s="164">
        <f>+WPF_bazowy!I29+Symulacja!I35</f>
        <v>0</v>
      </c>
      <c r="J29" s="164">
        <f>+WPF_bazowy!J29+Symulacja!J35</f>
        <v>0</v>
      </c>
      <c r="K29" s="165">
        <f>+WPF_bazowy!K29+Symulacja!K35</f>
        <v>0</v>
      </c>
      <c r="L29" s="165">
        <f>+WPF_bazowy!L29+Symulacja!L35</f>
        <v>0</v>
      </c>
      <c r="M29" s="250">
        <f>+WPF_bazowy!M29+Symulacja!M35</f>
        <v>0</v>
      </c>
      <c r="N29" s="251">
        <f>+WPF_bazowy!N29+Symulacja!N35</f>
        <v>0</v>
      </c>
      <c r="O29" s="252">
        <f>+WPF_bazowy!O29+Symulacja!O35</f>
        <v>0</v>
      </c>
      <c r="P29" s="252">
        <f>+WPF_bazowy!P29+Symulacja!P35</f>
        <v>0</v>
      </c>
      <c r="Q29" s="252">
        <f>+WPF_bazowy!Q29+Symulacja!Q35</f>
        <v>0</v>
      </c>
      <c r="R29" s="252">
        <f>+WPF_bazowy!R29+Symulacja!R35</f>
        <v>0</v>
      </c>
      <c r="S29" s="252">
        <f>+WPF_bazowy!S29+Symulacja!S35</f>
        <v>0</v>
      </c>
      <c r="T29" s="252">
        <f>+WPF_bazowy!T29+Symulacja!T35</f>
        <v>0</v>
      </c>
      <c r="U29" s="252">
        <f>+WPF_bazowy!U29+Symulacja!U35</f>
        <v>0</v>
      </c>
      <c r="V29" s="252">
        <f>+WPF_bazowy!V29+Symulacja!V35</f>
        <v>0</v>
      </c>
      <c r="W29" s="252">
        <f>+WPF_bazowy!W29+Symulacja!W35</f>
        <v>0</v>
      </c>
      <c r="X29" s="252">
        <f>+WPF_bazowy!X29+Symulacja!X35</f>
        <v>0</v>
      </c>
      <c r="Y29" s="252">
        <f>+WPF_bazowy!Y29+Symulacja!Y35</f>
        <v>0</v>
      </c>
      <c r="Z29" s="252">
        <f>+WPF_bazowy!Z29+Symulacja!Z35</f>
        <v>0</v>
      </c>
      <c r="AA29" s="252">
        <f>+WPF_bazowy!AA29+Symulacja!AA35</f>
        <v>0</v>
      </c>
      <c r="AB29" s="252">
        <f>+WPF_bazowy!AB29+Symulacja!AB35</f>
        <v>0</v>
      </c>
      <c r="AC29" s="252">
        <f>+WPF_bazowy!AC29+Symulacja!AC35</f>
        <v>0</v>
      </c>
      <c r="AD29" s="252">
        <f>+WPF_bazowy!AD29+Symulacja!AD35</f>
        <v>0</v>
      </c>
      <c r="AE29" s="252">
        <f>+WPF_bazowy!AE29+Symulacja!AE35</f>
        <v>0</v>
      </c>
      <c r="AF29" s="252">
        <f>+WPF_bazowy!AF29+Symulacja!AF35</f>
        <v>0</v>
      </c>
      <c r="AG29" s="252">
        <f>+WPF_bazowy!AG29+Symulacja!AG35</f>
        <v>0</v>
      </c>
      <c r="AH29" s="252">
        <f>+WPF_bazowy!AH29+Symulacja!AH35</f>
        <v>0</v>
      </c>
      <c r="AI29" s="252">
        <f>+WPF_bazowy!AI29+Symulacja!AI35</f>
        <v>0</v>
      </c>
      <c r="AJ29" s="252">
        <f>+WPF_bazowy!AJ29+Symulacja!AJ35</f>
        <v>0</v>
      </c>
      <c r="AK29" s="252">
        <f>+WPF_bazowy!AK29+Symulacja!AK35</f>
        <v>0</v>
      </c>
      <c r="AL29" s="252">
        <f>+WPF_bazowy!AL29+Symulacja!AL35</f>
        <v>0</v>
      </c>
      <c r="AM29" s="252">
        <f>+WPF_bazowy!AM29+Symulacja!AM35</f>
        <v>0</v>
      </c>
      <c r="AN29" s="252">
        <f>+WPF_bazowy!AN29+Symulacja!AN35</f>
        <v>0</v>
      </c>
      <c r="AO29" s="252">
        <f>+WPF_bazowy!AO29+Symulacja!AO35</f>
        <v>0</v>
      </c>
      <c r="AP29" s="252">
        <f>+WPF_bazowy!AP29+Symulacja!AP35</f>
        <v>0</v>
      </c>
      <c r="AQ29" s="252">
        <f>+WPF_bazowy!AQ29+Symulacja!AQ35</f>
        <v>0</v>
      </c>
      <c r="AR29" s="252">
        <f>+WPF_bazowy!AR29+Symulacja!AR35</f>
        <v>0</v>
      </c>
      <c r="AS29" s="252">
        <f>+WPF_bazowy!AS29+Symulacja!AS35</f>
        <v>0</v>
      </c>
      <c r="AT29" s="252">
        <f>+WPF_bazowy!AT29+Symulacja!AT35</f>
        <v>0</v>
      </c>
      <c r="AU29" s="252">
        <f>+WPF_bazowy!AU29+Symulacja!AU35</f>
        <v>0</v>
      </c>
      <c r="AV29" s="252">
        <f>+WPF_bazowy!AV29+Symulacja!AV35</f>
        <v>0</v>
      </c>
      <c r="AW29" s="252">
        <f>+WPF_bazowy!AW29+Symulacja!AW35</f>
        <v>0</v>
      </c>
      <c r="AX29" s="252">
        <f>+WPF_bazowy!AX29+Symulacja!AX35</f>
        <v>0</v>
      </c>
      <c r="AY29" s="252">
        <f>+WPF_bazowy!AY29+Symulacja!AY35</f>
        <v>0</v>
      </c>
      <c r="AZ29" s="252">
        <f>+WPF_bazowy!AZ29+Symulacja!AZ35</f>
        <v>0</v>
      </c>
      <c r="BA29" s="253">
        <f>+WPF_bazowy!BA29+Symulacja!BA35</f>
        <v>0</v>
      </c>
    </row>
    <row r="30" spans="1:54" outlineLevel="1">
      <c r="A30" s="127" t="s">
        <v>27</v>
      </c>
      <c r="C30" s="162" t="s">
        <v>54</v>
      </c>
      <c r="D30" s="169" t="s">
        <v>361</v>
      </c>
      <c r="E30" s="221" t="s">
        <v>318</v>
      </c>
      <c r="F30" s="164">
        <f>+WPF_bazowy!F30+Symulacja!F16+Symulacja!F17</f>
        <v>6770370.9699999997</v>
      </c>
      <c r="G30" s="164">
        <f>+WPF_bazowy!G30+Symulacja!G16+Symulacja!G17</f>
        <v>8428567.9800000004</v>
      </c>
      <c r="H30" s="164">
        <f>+WPF_bazowy!H30+Symulacja!H16+Symulacja!H17</f>
        <v>6638090.5300000003</v>
      </c>
      <c r="I30" s="164">
        <f>+WPF_bazowy!I30+Symulacja!I16+Symulacja!I17</f>
        <v>12699810.439999999</v>
      </c>
      <c r="J30" s="164">
        <f>+WPF_bazowy!J30+Symulacja!J16+Symulacja!J17</f>
        <v>14101467.33</v>
      </c>
      <c r="K30" s="165">
        <f>+WPF_bazowy!K30+Symulacja!K16+Symulacja!K17</f>
        <v>15388364.119999999</v>
      </c>
      <c r="L30" s="165">
        <f>+WPF_bazowy!L30+Symulacja!L16+Symulacja!L17</f>
        <v>18219988</v>
      </c>
      <c r="M30" s="250">
        <f>+WPF_bazowy!M30+Symulacja!M16+Symulacja!M17</f>
        <v>15466635.970000001</v>
      </c>
      <c r="N30" s="251">
        <f>+WPF_bazowy!N30+Symulacja!N16+Symulacja!N17</f>
        <v>26534888</v>
      </c>
      <c r="O30" s="252">
        <f>+WPF_bazowy!O30+Symulacja!O16+Symulacja!O17</f>
        <v>23154854</v>
      </c>
      <c r="P30" s="252">
        <f>+WPF_bazowy!P30+Symulacja!P16+Symulacja!P17</f>
        <v>1030284</v>
      </c>
      <c r="Q30" s="252">
        <f>+WPF_bazowy!Q30+Symulacja!Q16+Symulacja!Q17</f>
        <v>1613533</v>
      </c>
      <c r="R30" s="252">
        <f>+WPF_bazowy!R30+Symulacja!R16+Symulacja!R17</f>
        <v>2316905</v>
      </c>
      <c r="S30" s="252">
        <f>+WPF_bazowy!S30+Symulacja!S16+Symulacja!S17</f>
        <v>2998543</v>
      </c>
      <c r="T30" s="252">
        <f>+WPF_bazowy!T30+Symulacja!T16+Symulacja!T17</f>
        <v>4146159</v>
      </c>
      <c r="U30" s="252">
        <f>+WPF_bazowy!U30+Symulacja!U16+Symulacja!U17</f>
        <v>4690393</v>
      </c>
      <c r="V30" s="252">
        <f>+WPF_bazowy!V30+Symulacja!V16+Symulacja!V17</f>
        <v>5126926</v>
      </c>
      <c r="W30" s="252">
        <f>+WPF_bazowy!W30+Symulacja!W16+Symulacja!W17</f>
        <v>5514120</v>
      </c>
      <c r="X30" s="252">
        <f>+WPF_bazowy!X30+Symulacja!X16+Symulacja!X17</f>
        <v>5111826</v>
      </c>
      <c r="Y30" s="252">
        <f>+WPF_bazowy!Y30+Symulacja!Y16+Symulacja!Y17</f>
        <v>5415107</v>
      </c>
      <c r="Z30" s="252">
        <f>+WPF_bazowy!Z30+Symulacja!Z16+Symulacja!Z17</f>
        <v>0</v>
      </c>
      <c r="AA30" s="252">
        <f>+WPF_bazowy!AA30+Symulacja!AA16+Symulacja!AA17</f>
        <v>0</v>
      </c>
      <c r="AB30" s="252">
        <f>+WPF_bazowy!AB30+Symulacja!AB16+Symulacja!AB17</f>
        <v>0</v>
      </c>
      <c r="AC30" s="252">
        <f>+WPF_bazowy!AC30+Symulacja!AC16+Symulacja!AC17</f>
        <v>0</v>
      </c>
      <c r="AD30" s="252">
        <f>+WPF_bazowy!AD30+Symulacja!AD16+Symulacja!AD17</f>
        <v>0</v>
      </c>
      <c r="AE30" s="252">
        <f>+WPF_bazowy!AE30+Symulacja!AE16+Symulacja!AE17</f>
        <v>0</v>
      </c>
      <c r="AF30" s="252">
        <f>+WPF_bazowy!AF30+Symulacja!AF16+Symulacja!AF17</f>
        <v>0</v>
      </c>
      <c r="AG30" s="252">
        <f>+WPF_bazowy!AG30+Symulacja!AG16+Symulacja!AG17</f>
        <v>0</v>
      </c>
      <c r="AH30" s="252">
        <f>+WPF_bazowy!AH30+Symulacja!AH16+Symulacja!AH17</f>
        <v>0</v>
      </c>
      <c r="AI30" s="252">
        <f>+WPF_bazowy!AI30+Symulacja!AI16+Symulacja!AI17</f>
        <v>0</v>
      </c>
      <c r="AJ30" s="252">
        <f>+WPF_bazowy!AJ30+Symulacja!AJ16+Symulacja!AJ17</f>
        <v>0</v>
      </c>
      <c r="AK30" s="252">
        <f>+WPF_bazowy!AK30+Symulacja!AK16+Symulacja!AK17</f>
        <v>0</v>
      </c>
      <c r="AL30" s="252">
        <f>+WPF_bazowy!AL30+Symulacja!AL16+Symulacja!AL17</f>
        <v>0</v>
      </c>
      <c r="AM30" s="252">
        <f>+WPF_bazowy!AM30+Symulacja!AM16+Symulacja!AM17</f>
        <v>0</v>
      </c>
      <c r="AN30" s="252">
        <f>+WPF_bazowy!AN30+Symulacja!AN16+Symulacja!AN17</f>
        <v>0</v>
      </c>
      <c r="AO30" s="252">
        <f>+WPF_bazowy!AO30+Symulacja!AO16+Symulacja!AO17</f>
        <v>0</v>
      </c>
      <c r="AP30" s="252">
        <f>+WPF_bazowy!AP30+Symulacja!AP16+Symulacja!AP17</f>
        <v>0</v>
      </c>
      <c r="AQ30" s="252">
        <f>+WPF_bazowy!AQ30+Symulacja!AQ16+Symulacja!AQ17</f>
        <v>0</v>
      </c>
      <c r="AR30" s="252">
        <f>+WPF_bazowy!AR30+Symulacja!AR16+Symulacja!AR17</f>
        <v>0</v>
      </c>
      <c r="AS30" s="252">
        <f>+WPF_bazowy!AS30+Symulacja!AS16+Symulacja!AS17</f>
        <v>0</v>
      </c>
      <c r="AT30" s="252">
        <f>+WPF_bazowy!AT30+Symulacja!AT16+Symulacja!AT17</f>
        <v>0</v>
      </c>
      <c r="AU30" s="252">
        <f>+WPF_bazowy!AU30+Symulacja!AU16+Symulacja!AU17</f>
        <v>0</v>
      </c>
      <c r="AV30" s="252">
        <f>+WPF_bazowy!AV30+Symulacja!AV16+Symulacja!AV17</f>
        <v>0</v>
      </c>
      <c r="AW30" s="252">
        <f>+WPF_bazowy!AW30+Symulacja!AW16+Symulacja!AW17</f>
        <v>0</v>
      </c>
      <c r="AX30" s="252">
        <f>+WPF_bazowy!AX30+Symulacja!AX16+Symulacja!AX17</f>
        <v>0</v>
      </c>
      <c r="AY30" s="252">
        <f>+WPF_bazowy!AY30+Symulacja!AY16+Symulacja!AY17</f>
        <v>0</v>
      </c>
      <c r="AZ30" s="252">
        <f>+WPF_bazowy!AZ30+Symulacja!AZ16+Symulacja!AZ17</f>
        <v>0</v>
      </c>
      <c r="BA30" s="253">
        <f>+WPF_bazowy!BA30+Symulacja!BA16+Symulacja!BA17</f>
        <v>0</v>
      </c>
    </row>
    <row r="31" spans="1:54" outlineLevel="2">
      <c r="C31" s="162" t="s">
        <v>271</v>
      </c>
      <c r="D31" s="169"/>
      <c r="E31" s="232" t="s">
        <v>319</v>
      </c>
      <c r="F31" s="164">
        <f>+WPF_bazowy!F31+Symulacja!F16+Symulacja!F17</f>
        <v>6770370.9699999997</v>
      </c>
      <c r="G31" s="164">
        <f>+WPF_bazowy!G31+Symulacja!G16+Symulacja!G17</f>
        <v>8428567.9800000004</v>
      </c>
      <c r="H31" s="164">
        <f>+WPF_bazowy!H31+Symulacja!H16+Symulacja!H17</f>
        <v>6638090.5300000003</v>
      </c>
      <c r="I31" s="164">
        <f>+WPF_bazowy!I31+Symulacja!I16+Symulacja!I17</f>
        <v>12699810.439999999</v>
      </c>
      <c r="J31" s="164">
        <f>+WPF_bazowy!J31+Symulacja!J16+Symulacja!J17</f>
        <v>14101467.33</v>
      </c>
      <c r="K31" s="165">
        <f>+WPF_bazowy!K31+Symulacja!K16+Symulacja!K17</f>
        <v>15388364.119999999</v>
      </c>
      <c r="L31" s="165">
        <f>+WPF_bazowy!L31+Symulacja!L16+Symulacja!L17</f>
        <v>18219988</v>
      </c>
      <c r="M31" s="250">
        <f>+WPF_bazowy!M31+Symulacja!M16+Symulacja!M17</f>
        <v>15466635.970000001</v>
      </c>
      <c r="N31" s="251">
        <f>+WPF_bazowy!N31+Symulacja!N16+Symulacja!N17</f>
        <v>25624888</v>
      </c>
      <c r="O31" s="252">
        <f>+WPF_bazowy!O31+Symulacja!O16+Symulacja!O17</f>
        <v>23154854</v>
      </c>
      <c r="P31" s="252">
        <f>+WPF_bazowy!P31+Symulacja!P16+Symulacja!P17</f>
        <v>1030284</v>
      </c>
      <c r="Q31" s="252">
        <f>+WPF_bazowy!Q31+Symulacja!Q16+Symulacja!Q17</f>
        <v>1613533</v>
      </c>
      <c r="R31" s="252">
        <f>+WPF_bazowy!R31+Symulacja!R16+Symulacja!R17</f>
        <v>2316905</v>
      </c>
      <c r="S31" s="252">
        <f>+WPF_bazowy!S31+Symulacja!S16+Symulacja!S17</f>
        <v>2998543</v>
      </c>
      <c r="T31" s="252">
        <f>+WPF_bazowy!T31+Symulacja!T16+Symulacja!T17</f>
        <v>4146159</v>
      </c>
      <c r="U31" s="252">
        <f>+WPF_bazowy!U31+Symulacja!U16+Symulacja!U17</f>
        <v>4690393</v>
      </c>
      <c r="V31" s="252">
        <f>+WPF_bazowy!V31+Symulacja!V16+Symulacja!V17</f>
        <v>5126926</v>
      </c>
      <c r="W31" s="252">
        <f>+WPF_bazowy!W31+Symulacja!W16+Symulacja!W17</f>
        <v>5514120</v>
      </c>
      <c r="X31" s="252">
        <f>+WPF_bazowy!X31+Symulacja!X16+Symulacja!X17</f>
        <v>5111826</v>
      </c>
      <c r="Y31" s="252">
        <f>+WPF_bazowy!Y31+Symulacja!Y16+Symulacja!Y17</f>
        <v>5415107</v>
      </c>
      <c r="Z31" s="252">
        <f>+WPF_bazowy!Z31+Symulacja!Z16+Symulacja!Z17</f>
        <v>0</v>
      </c>
      <c r="AA31" s="252">
        <f>+WPF_bazowy!AA31+Symulacja!AA16+Symulacja!AA17</f>
        <v>0</v>
      </c>
      <c r="AB31" s="252">
        <f>+WPF_bazowy!AB31+Symulacja!AB16+Symulacja!AB17</f>
        <v>0</v>
      </c>
      <c r="AC31" s="252">
        <f>+WPF_bazowy!AC31+Symulacja!AC16+Symulacja!AC17</f>
        <v>0</v>
      </c>
      <c r="AD31" s="252">
        <f>+WPF_bazowy!AD31+Symulacja!AD16+Symulacja!AD17</f>
        <v>0</v>
      </c>
      <c r="AE31" s="252">
        <f>+WPF_bazowy!AE31+Symulacja!AE16+Symulacja!AE17</f>
        <v>0</v>
      </c>
      <c r="AF31" s="252">
        <f>+WPF_bazowy!AF31+Symulacja!AF16+Symulacja!AF17</f>
        <v>0</v>
      </c>
      <c r="AG31" s="252">
        <f>+WPF_bazowy!AG31+Symulacja!AG16+Symulacja!AG17</f>
        <v>0</v>
      </c>
      <c r="AH31" s="252">
        <f>+WPF_bazowy!AH31+Symulacja!AH16+Symulacja!AH17</f>
        <v>0</v>
      </c>
      <c r="AI31" s="252">
        <f>+WPF_bazowy!AI31+Symulacja!AI16+Symulacja!AI17</f>
        <v>0</v>
      </c>
      <c r="AJ31" s="252">
        <f>+WPF_bazowy!AJ31+Symulacja!AJ16+Symulacja!AJ17</f>
        <v>0</v>
      </c>
      <c r="AK31" s="252">
        <f>+WPF_bazowy!AK31+Symulacja!AK16+Symulacja!AK17</f>
        <v>0</v>
      </c>
      <c r="AL31" s="252">
        <f>+WPF_bazowy!AL31+Symulacja!AL16+Symulacja!AL17</f>
        <v>0</v>
      </c>
      <c r="AM31" s="252">
        <f>+WPF_bazowy!AM31+Symulacja!AM16+Symulacja!AM17</f>
        <v>0</v>
      </c>
      <c r="AN31" s="252">
        <f>+WPF_bazowy!AN31+Symulacja!AN16+Symulacja!AN17</f>
        <v>0</v>
      </c>
      <c r="AO31" s="252">
        <f>+WPF_bazowy!AO31+Symulacja!AO16+Symulacja!AO17</f>
        <v>0</v>
      </c>
      <c r="AP31" s="252">
        <f>+WPF_bazowy!AP31+Symulacja!AP16+Symulacja!AP17</f>
        <v>0</v>
      </c>
      <c r="AQ31" s="252">
        <f>+WPF_bazowy!AQ31+Symulacja!AQ16+Symulacja!AQ17</f>
        <v>0</v>
      </c>
      <c r="AR31" s="252">
        <f>+WPF_bazowy!AR31+Symulacja!AR16+Symulacja!AR17</f>
        <v>0</v>
      </c>
      <c r="AS31" s="252">
        <f>+WPF_bazowy!AS31+Symulacja!AS16+Symulacja!AS17</f>
        <v>0</v>
      </c>
      <c r="AT31" s="252">
        <f>+WPF_bazowy!AT31+Symulacja!AT16+Symulacja!AT17</f>
        <v>0</v>
      </c>
      <c r="AU31" s="252">
        <f>+WPF_bazowy!AU31+Symulacja!AU16+Symulacja!AU17</f>
        <v>0</v>
      </c>
      <c r="AV31" s="252">
        <f>+WPF_bazowy!AV31+Symulacja!AV16+Symulacja!AV17</f>
        <v>0</v>
      </c>
      <c r="AW31" s="252">
        <f>+WPF_bazowy!AW31+Symulacja!AW16+Symulacja!AW17</f>
        <v>0</v>
      </c>
      <c r="AX31" s="252">
        <f>+WPF_bazowy!AX31+Symulacja!AX16+Symulacja!AX17</f>
        <v>0</v>
      </c>
      <c r="AY31" s="252">
        <f>+WPF_bazowy!AY31+Symulacja!AY16+Symulacja!AY17</f>
        <v>0</v>
      </c>
      <c r="AZ31" s="252">
        <f>+WPF_bazowy!AZ31+Symulacja!AZ16+Symulacja!AZ17</f>
        <v>0</v>
      </c>
      <c r="BA31" s="253">
        <f>+WPF_bazowy!BA31+Symulacja!BA16+Symulacja!BA17</f>
        <v>0</v>
      </c>
    </row>
    <row r="32" spans="1:54" ht="15" outlineLevel="2">
      <c r="C32" s="162" t="s">
        <v>272</v>
      </c>
      <c r="D32" s="169"/>
      <c r="E32" s="214" t="s">
        <v>320</v>
      </c>
      <c r="F32" s="164">
        <f>+WPF_bazowy!F32</f>
        <v>100000</v>
      </c>
      <c r="G32" s="164">
        <f>+WPF_bazowy!G32</f>
        <v>52000</v>
      </c>
      <c r="H32" s="164">
        <f>+WPF_bazowy!H32</f>
        <v>0</v>
      </c>
      <c r="I32" s="164">
        <f>+WPF_bazowy!I32</f>
        <v>224021</v>
      </c>
      <c r="J32" s="164">
        <f>+WPF_bazowy!J32</f>
        <v>0</v>
      </c>
      <c r="K32" s="165">
        <f>+WPF_bazowy!K32</f>
        <v>0</v>
      </c>
      <c r="L32" s="165">
        <f>+WPF_bazowy!L32</f>
        <v>10000</v>
      </c>
      <c r="M32" s="250">
        <f>+WPF_bazowy!M32</f>
        <v>14487.04</v>
      </c>
      <c r="N32" s="164">
        <f>+WPF_bazowy!N32</f>
        <v>910000</v>
      </c>
      <c r="O32" s="165">
        <f>+WPF_bazowy!O32</f>
        <v>0</v>
      </c>
      <c r="P32" s="165">
        <f>+WPF_bazowy!P32</f>
        <v>0</v>
      </c>
      <c r="Q32" s="165">
        <f>+WPF_bazowy!Q32</f>
        <v>0</v>
      </c>
      <c r="R32" s="165">
        <f>+WPF_bazowy!R32</f>
        <v>0</v>
      </c>
      <c r="S32" s="165">
        <f>+WPF_bazowy!S32</f>
        <v>0</v>
      </c>
      <c r="T32" s="165">
        <f>+WPF_bazowy!T32</f>
        <v>0</v>
      </c>
      <c r="U32" s="165">
        <f>+WPF_bazowy!U32</f>
        <v>0</v>
      </c>
      <c r="V32" s="165">
        <f>+WPF_bazowy!V32</f>
        <v>0</v>
      </c>
      <c r="W32" s="165">
        <f>+WPF_bazowy!W32</f>
        <v>0</v>
      </c>
      <c r="X32" s="165">
        <f>+WPF_bazowy!X32</f>
        <v>0</v>
      </c>
      <c r="Y32" s="165">
        <f>+WPF_bazowy!Y32</f>
        <v>0</v>
      </c>
      <c r="Z32" s="165">
        <f>+WPF_bazowy!Z32</f>
        <v>0</v>
      </c>
      <c r="AA32" s="165">
        <f>+WPF_bazowy!AA32</f>
        <v>0</v>
      </c>
      <c r="AB32" s="165">
        <f>+WPF_bazowy!AB32</f>
        <v>0</v>
      </c>
      <c r="AC32" s="165">
        <f>+WPF_bazowy!AC32</f>
        <v>0</v>
      </c>
      <c r="AD32" s="165">
        <f>+WPF_bazowy!AD32</f>
        <v>0</v>
      </c>
      <c r="AE32" s="165">
        <f>+WPF_bazowy!AE32</f>
        <v>0</v>
      </c>
      <c r="AF32" s="165">
        <f>+WPF_bazowy!AF32</f>
        <v>0</v>
      </c>
      <c r="AG32" s="165">
        <f>+WPF_bazowy!AG32</f>
        <v>0</v>
      </c>
      <c r="AH32" s="165">
        <f>+WPF_bazowy!AH32</f>
        <v>0</v>
      </c>
      <c r="AI32" s="165">
        <f>+WPF_bazowy!AI32</f>
        <v>0</v>
      </c>
      <c r="AJ32" s="165">
        <f>+WPF_bazowy!AJ32</f>
        <v>0</v>
      </c>
      <c r="AK32" s="165">
        <f>+WPF_bazowy!AK32</f>
        <v>0</v>
      </c>
      <c r="AL32" s="165">
        <f>+WPF_bazowy!AL32</f>
        <v>0</v>
      </c>
      <c r="AM32" s="165">
        <f>+WPF_bazowy!AM32</f>
        <v>0</v>
      </c>
      <c r="AN32" s="165">
        <f>+WPF_bazowy!AN32</f>
        <v>0</v>
      </c>
      <c r="AO32" s="165">
        <f>+WPF_bazowy!AO32</f>
        <v>0</v>
      </c>
      <c r="AP32" s="165">
        <f>+WPF_bazowy!AP32</f>
        <v>0</v>
      </c>
      <c r="AQ32" s="165">
        <f>+WPF_bazowy!AQ32</f>
        <v>0</v>
      </c>
      <c r="AR32" s="165">
        <f>+WPF_bazowy!AR32</f>
        <v>0</v>
      </c>
      <c r="AS32" s="165">
        <f>+WPF_bazowy!AS32</f>
        <v>0</v>
      </c>
      <c r="AT32" s="165">
        <f>+WPF_bazowy!AT32</f>
        <v>0</v>
      </c>
      <c r="AU32" s="165">
        <f>+WPF_bazowy!AU32</f>
        <v>0</v>
      </c>
      <c r="AV32" s="165">
        <f>+WPF_bazowy!AV32</f>
        <v>0</v>
      </c>
      <c r="AW32" s="165">
        <f>+WPF_bazowy!AW32</f>
        <v>0</v>
      </c>
      <c r="AX32" s="165">
        <f>+WPF_bazowy!AX32</f>
        <v>0</v>
      </c>
      <c r="AY32" s="165">
        <f>+WPF_bazowy!AY32</f>
        <v>0</v>
      </c>
      <c r="AZ32" s="165">
        <f>+WPF_bazowy!AZ32</f>
        <v>0</v>
      </c>
      <c r="BA32" s="178">
        <f>+WPF_bazowy!BA32</f>
        <v>0</v>
      </c>
      <c r="BB32" s="153"/>
    </row>
    <row r="33" spans="1:54" ht="15">
      <c r="A33" s="127" t="s">
        <v>27</v>
      </c>
      <c r="C33" s="170">
        <v>3</v>
      </c>
      <c r="D33" s="169"/>
      <c r="E33" s="171" t="s">
        <v>20</v>
      </c>
      <c r="F33" s="167">
        <f t="shared" ref="F33:M33" si="7">+ROUND(F10-F21,2)</f>
        <v>-748210.32</v>
      </c>
      <c r="G33" s="167">
        <f t="shared" si="7"/>
        <v>1982288.52</v>
      </c>
      <c r="H33" s="167">
        <f t="shared" si="7"/>
        <v>1153140.6000000001</v>
      </c>
      <c r="I33" s="167">
        <f t="shared" si="7"/>
        <v>775608.56</v>
      </c>
      <c r="J33" s="167">
        <f t="shared" si="7"/>
        <v>5207119.07</v>
      </c>
      <c r="K33" s="168">
        <f t="shared" si="7"/>
        <v>3799751.37</v>
      </c>
      <c r="L33" s="168">
        <f t="shared" si="7"/>
        <v>-10500000</v>
      </c>
      <c r="M33" s="172">
        <f t="shared" si="7"/>
        <v>4594091.3499999996</v>
      </c>
      <c r="N33" s="173">
        <f t="shared" ref="N33:X33" si="8">+ROUND(N10-N21,2)</f>
        <v>-14662538</v>
      </c>
      <c r="O33" s="174">
        <f t="shared" si="8"/>
        <v>1000000</v>
      </c>
      <c r="P33" s="174">
        <f t="shared" si="8"/>
        <v>1915000</v>
      </c>
      <c r="Q33" s="174">
        <f t="shared" si="8"/>
        <v>2000000</v>
      </c>
      <c r="R33" s="174">
        <f t="shared" si="8"/>
        <v>2000000</v>
      </c>
      <c r="S33" s="174">
        <f t="shared" si="8"/>
        <v>2000000</v>
      </c>
      <c r="T33" s="174">
        <f t="shared" si="8"/>
        <v>1500000</v>
      </c>
      <c r="U33" s="174">
        <f t="shared" si="8"/>
        <v>1500000</v>
      </c>
      <c r="V33" s="174">
        <f t="shared" si="8"/>
        <v>1500000</v>
      </c>
      <c r="W33" s="174">
        <f t="shared" si="8"/>
        <v>1500000</v>
      </c>
      <c r="X33" s="174">
        <f t="shared" si="8"/>
        <v>1750000</v>
      </c>
      <c r="Y33" s="174">
        <f t="shared" ref="Y33:BA33" si="9">+ROUND(Y10-Y21,2)</f>
        <v>1750000</v>
      </c>
      <c r="Z33" s="174">
        <f t="shared" si="9"/>
        <v>0</v>
      </c>
      <c r="AA33" s="174">
        <f t="shared" si="9"/>
        <v>0</v>
      </c>
      <c r="AB33" s="174">
        <f t="shared" si="9"/>
        <v>0</v>
      </c>
      <c r="AC33" s="174">
        <f t="shared" si="9"/>
        <v>0</v>
      </c>
      <c r="AD33" s="174">
        <f t="shared" si="9"/>
        <v>0</v>
      </c>
      <c r="AE33" s="174">
        <f t="shared" si="9"/>
        <v>0</v>
      </c>
      <c r="AF33" s="174">
        <f t="shared" si="9"/>
        <v>0</v>
      </c>
      <c r="AG33" s="174">
        <f t="shared" si="9"/>
        <v>0</v>
      </c>
      <c r="AH33" s="174">
        <f t="shared" si="9"/>
        <v>0</v>
      </c>
      <c r="AI33" s="174">
        <f t="shared" si="9"/>
        <v>0</v>
      </c>
      <c r="AJ33" s="174">
        <f t="shared" si="9"/>
        <v>0</v>
      </c>
      <c r="AK33" s="174">
        <f t="shared" si="9"/>
        <v>0</v>
      </c>
      <c r="AL33" s="174">
        <f t="shared" si="9"/>
        <v>0</v>
      </c>
      <c r="AM33" s="174">
        <f t="shared" si="9"/>
        <v>0</v>
      </c>
      <c r="AN33" s="174">
        <f t="shared" si="9"/>
        <v>0</v>
      </c>
      <c r="AO33" s="174">
        <f t="shared" si="9"/>
        <v>0</v>
      </c>
      <c r="AP33" s="174">
        <f t="shared" si="9"/>
        <v>0</v>
      </c>
      <c r="AQ33" s="174">
        <f t="shared" si="9"/>
        <v>0</v>
      </c>
      <c r="AR33" s="174">
        <f t="shared" si="9"/>
        <v>0</v>
      </c>
      <c r="AS33" s="174">
        <f t="shared" si="9"/>
        <v>0</v>
      </c>
      <c r="AT33" s="174">
        <f t="shared" si="9"/>
        <v>0</v>
      </c>
      <c r="AU33" s="174">
        <f t="shared" si="9"/>
        <v>0</v>
      </c>
      <c r="AV33" s="174">
        <f t="shared" si="9"/>
        <v>0</v>
      </c>
      <c r="AW33" s="174">
        <f t="shared" si="9"/>
        <v>0</v>
      </c>
      <c r="AX33" s="174">
        <f t="shared" si="9"/>
        <v>0</v>
      </c>
      <c r="AY33" s="174">
        <f t="shared" si="9"/>
        <v>0</v>
      </c>
      <c r="AZ33" s="174">
        <f t="shared" si="9"/>
        <v>0</v>
      </c>
      <c r="BA33" s="172">
        <f t="shared" si="9"/>
        <v>0</v>
      </c>
      <c r="BB33" s="153"/>
    </row>
    <row r="34" spans="1:54" outlineLevel="1">
      <c r="C34" s="162" t="s">
        <v>299</v>
      </c>
      <c r="D34" s="169"/>
      <c r="E34" s="231" t="s">
        <v>321</v>
      </c>
      <c r="F34" s="164">
        <f>+WPF_bazowy!F34</f>
        <v>0</v>
      </c>
      <c r="G34" s="164">
        <f>+WPF_bazowy!G34</f>
        <v>0</v>
      </c>
      <c r="H34" s="164">
        <f>+WPF_bazowy!H34</f>
        <v>0</v>
      </c>
      <c r="I34" s="164">
        <f>+WPF_bazowy!I34</f>
        <v>0</v>
      </c>
      <c r="J34" s="164">
        <f>+WPF_bazowy!J34</f>
        <v>0</v>
      </c>
      <c r="K34" s="165">
        <f>+WPF_bazowy!K34</f>
        <v>0</v>
      </c>
      <c r="L34" s="165">
        <f>+WPF_bazowy!L34</f>
        <v>0</v>
      </c>
      <c r="M34" s="250">
        <f>+WPF_bazowy!M34</f>
        <v>2000000</v>
      </c>
      <c r="N34" s="164">
        <f>+WPF_bazowy!N34</f>
        <v>0</v>
      </c>
      <c r="O34" s="165">
        <f>+WPF_bazowy!O34</f>
        <v>1000000</v>
      </c>
      <c r="P34" s="165">
        <f>+WPF_bazowy!P34</f>
        <v>1915000</v>
      </c>
      <c r="Q34" s="165">
        <f>+WPF_bazowy!Q34</f>
        <v>2000000</v>
      </c>
      <c r="R34" s="165">
        <f>+WPF_bazowy!R34</f>
        <v>2000000</v>
      </c>
      <c r="S34" s="165">
        <f>+WPF_bazowy!S34</f>
        <v>2000000</v>
      </c>
      <c r="T34" s="165">
        <f>+WPF_bazowy!T34</f>
        <v>1500000</v>
      </c>
      <c r="U34" s="165">
        <f>+WPF_bazowy!U34</f>
        <v>1500000</v>
      </c>
      <c r="V34" s="165">
        <f>+WPF_bazowy!V34</f>
        <v>1500000</v>
      </c>
      <c r="W34" s="165">
        <f>+WPF_bazowy!W34</f>
        <v>1500000</v>
      </c>
      <c r="X34" s="165">
        <f>+WPF_bazowy!X34</f>
        <v>1750000</v>
      </c>
      <c r="Y34" s="165">
        <f>+WPF_bazowy!Y34</f>
        <v>1750000</v>
      </c>
      <c r="Z34" s="165">
        <f>+WPF_bazowy!Z34</f>
        <v>0</v>
      </c>
      <c r="AA34" s="165">
        <f>+WPF_bazowy!AA34</f>
        <v>0</v>
      </c>
      <c r="AB34" s="165">
        <f>+WPF_bazowy!AB34</f>
        <v>0</v>
      </c>
      <c r="AC34" s="165">
        <f>+WPF_bazowy!AC34</f>
        <v>0</v>
      </c>
      <c r="AD34" s="165">
        <f>+WPF_bazowy!AD34</f>
        <v>0</v>
      </c>
      <c r="AE34" s="165">
        <f>+WPF_bazowy!AE34</f>
        <v>0</v>
      </c>
      <c r="AF34" s="165">
        <f>+WPF_bazowy!AF34</f>
        <v>0</v>
      </c>
      <c r="AG34" s="165">
        <f>+WPF_bazowy!AG34</f>
        <v>0</v>
      </c>
      <c r="AH34" s="165">
        <f>+WPF_bazowy!AH34</f>
        <v>0</v>
      </c>
      <c r="AI34" s="165">
        <f>+WPF_bazowy!AI34</f>
        <v>0</v>
      </c>
      <c r="AJ34" s="165">
        <f>+WPF_bazowy!AJ34</f>
        <v>0</v>
      </c>
      <c r="AK34" s="165">
        <f>+WPF_bazowy!AK34</f>
        <v>0</v>
      </c>
      <c r="AL34" s="165">
        <f>+WPF_bazowy!AL34</f>
        <v>0</v>
      </c>
      <c r="AM34" s="165">
        <f>+WPF_bazowy!AM34</f>
        <v>0</v>
      </c>
      <c r="AN34" s="165">
        <f>+WPF_bazowy!AN34</f>
        <v>0</v>
      </c>
      <c r="AO34" s="165">
        <f>+WPF_bazowy!AO34</f>
        <v>0</v>
      </c>
      <c r="AP34" s="165">
        <f>+WPF_bazowy!AP34</f>
        <v>0</v>
      </c>
      <c r="AQ34" s="165">
        <f>+WPF_bazowy!AQ34</f>
        <v>0</v>
      </c>
      <c r="AR34" s="165">
        <f>+WPF_bazowy!AR34</f>
        <v>0</v>
      </c>
      <c r="AS34" s="165">
        <f>+WPF_bazowy!AS34</f>
        <v>0</v>
      </c>
      <c r="AT34" s="165">
        <f>+WPF_bazowy!AT34</f>
        <v>0</v>
      </c>
      <c r="AU34" s="165">
        <f>+WPF_bazowy!AU34</f>
        <v>0</v>
      </c>
      <c r="AV34" s="165">
        <f>+WPF_bazowy!AV34</f>
        <v>0</v>
      </c>
      <c r="AW34" s="165">
        <f>+WPF_bazowy!AW34</f>
        <v>0</v>
      </c>
      <c r="AX34" s="165">
        <f>+WPF_bazowy!AX34</f>
        <v>0</v>
      </c>
      <c r="AY34" s="165">
        <f>+WPF_bazowy!AY34</f>
        <v>0</v>
      </c>
      <c r="AZ34" s="165">
        <f>+WPF_bazowy!AZ34</f>
        <v>0</v>
      </c>
      <c r="BA34" s="178">
        <f>+WPF_bazowy!BA34</f>
        <v>0</v>
      </c>
    </row>
    <row r="35" spans="1:54">
      <c r="A35" s="127" t="s">
        <v>27</v>
      </c>
      <c r="C35" s="170">
        <v>4</v>
      </c>
      <c r="D35" s="169"/>
      <c r="E35" s="222" t="s">
        <v>21</v>
      </c>
      <c r="F35" s="164">
        <f>+WPF_bazowy!F35+Symulacja!F18</f>
        <v>0</v>
      </c>
      <c r="G35" s="164">
        <f>+WPF_bazowy!G35+Symulacja!G18</f>
        <v>0</v>
      </c>
      <c r="H35" s="164">
        <f>+WPF_bazowy!H35+Symulacja!H18</f>
        <v>0</v>
      </c>
      <c r="I35" s="164">
        <f>+WPF_bazowy!I35+Symulacja!I18</f>
        <v>0</v>
      </c>
      <c r="J35" s="164">
        <f>+WPF_bazowy!J35+Symulacja!J18</f>
        <v>1699428.56</v>
      </c>
      <c r="K35" s="165">
        <f>+WPF_bazowy!K35+Symulacja!K18</f>
        <v>6906547.6299999999</v>
      </c>
      <c r="L35" s="165">
        <f>+WPF_bazowy!L35+Symulacja!L18</f>
        <v>12590000</v>
      </c>
      <c r="M35" s="172">
        <f>+ROUND(SUM(M36,M38+M40+M42+M44),2)</f>
        <v>12631472.84</v>
      </c>
      <c r="N35" s="173">
        <f>+ROUND(SUM(N36,N38+N40+N42+N44),2)</f>
        <v>14662538</v>
      </c>
      <c r="O35" s="174">
        <f>+ROUND(SUM(O36,O38+O40+O42+O44),2)</f>
        <v>1000000</v>
      </c>
      <c r="P35" s="174">
        <f>+ROUND(SUM(P36,P38+P40+P42+P44),2)</f>
        <v>0</v>
      </c>
      <c r="Q35" s="174">
        <f>+ROUND(SUM(Q36,Q38+Q40+Q42+Q44),2)</f>
        <v>0</v>
      </c>
      <c r="R35" s="174">
        <f t="shared" ref="R35:X35" si="10">+ROUND(SUM(R36,R38+R40+R42+R44),2)</f>
        <v>0</v>
      </c>
      <c r="S35" s="174">
        <f t="shared" si="10"/>
        <v>0</v>
      </c>
      <c r="T35" s="174">
        <f t="shared" si="10"/>
        <v>0</v>
      </c>
      <c r="U35" s="174">
        <f t="shared" si="10"/>
        <v>0</v>
      </c>
      <c r="V35" s="174">
        <f t="shared" si="10"/>
        <v>0</v>
      </c>
      <c r="W35" s="174">
        <f t="shared" si="10"/>
        <v>0</v>
      </c>
      <c r="X35" s="174">
        <f t="shared" si="10"/>
        <v>0</v>
      </c>
      <c r="Y35" s="174">
        <f t="shared" ref="Y35:BA35" si="11">+ROUND(SUM(Y36,Y38+Y40+Y42+Y44),2)</f>
        <v>0</v>
      </c>
      <c r="Z35" s="174">
        <f t="shared" si="11"/>
        <v>0</v>
      </c>
      <c r="AA35" s="174">
        <f t="shared" si="11"/>
        <v>0</v>
      </c>
      <c r="AB35" s="174">
        <f t="shared" si="11"/>
        <v>0</v>
      </c>
      <c r="AC35" s="174">
        <f t="shared" si="11"/>
        <v>0</v>
      </c>
      <c r="AD35" s="174">
        <f t="shared" si="11"/>
        <v>0</v>
      </c>
      <c r="AE35" s="174">
        <f t="shared" si="11"/>
        <v>0</v>
      </c>
      <c r="AF35" s="174">
        <f t="shared" si="11"/>
        <v>0</v>
      </c>
      <c r="AG35" s="174">
        <f t="shared" si="11"/>
        <v>0</v>
      </c>
      <c r="AH35" s="174">
        <f t="shared" si="11"/>
        <v>0</v>
      </c>
      <c r="AI35" s="174">
        <f t="shared" si="11"/>
        <v>0</v>
      </c>
      <c r="AJ35" s="174">
        <f t="shared" si="11"/>
        <v>0</v>
      </c>
      <c r="AK35" s="174">
        <f t="shared" si="11"/>
        <v>0</v>
      </c>
      <c r="AL35" s="174">
        <f t="shared" si="11"/>
        <v>0</v>
      </c>
      <c r="AM35" s="174">
        <f t="shared" si="11"/>
        <v>0</v>
      </c>
      <c r="AN35" s="174">
        <f t="shared" si="11"/>
        <v>0</v>
      </c>
      <c r="AO35" s="174">
        <f t="shared" si="11"/>
        <v>0</v>
      </c>
      <c r="AP35" s="174">
        <f t="shared" si="11"/>
        <v>0</v>
      </c>
      <c r="AQ35" s="174">
        <f t="shared" si="11"/>
        <v>0</v>
      </c>
      <c r="AR35" s="174">
        <f t="shared" si="11"/>
        <v>0</v>
      </c>
      <c r="AS35" s="174">
        <f t="shared" si="11"/>
        <v>0</v>
      </c>
      <c r="AT35" s="174">
        <f t="shared" si="11"/>
        <v>0</v>
      </c>
      <c r="AU35" s="174">
        <f t="shared" si="11"/>
        <v>0</v>
      </c>
      <c r="AV35" s="174">
        <f t="shared" si="11"/>
        <v>0</v>
      </c>
      <c r="AW35" s="174">
        <f t="shared" si="11"/>
        <v>0</v>
      </c>
      <c r="AX35" s="174">
        <f t="shared" si="11"/>
        <v>0</v>
      </c>
      <c r="AY35" s="174">
        <f t="shared" si="11"/>
        <v>0</v>
      </c>
      <c r="AZ35" s="174">
        <f t="shared" si="11"/>
        <v>0</v>
      </c>
      <c r="BA35" s="172">
        <f t="shared" si="11"/>
        <v>0</v>
      </c>
    </row>
    <row r="36" spans="1:54" outlineLevel="1">
      <c r="A36" s="127" t="s">
        <v>27</v>
      </c>
      <c r="C36" s="162" t="s">
        <v>55</v>
      </c>
      <c r="D36" s="169"/>
      <c r="E36" s="234" t="s">
        <v>91</v>
      </c>
      <c r="F36" s="164">
        <f>+WPF_bazowy!F36+Symulacja!F19</f>
        <v>0</v>
      </c>
      <c r="G36" s="164">
        <f>+WPF_bazowy!G36+Symulacja!G19</f>
        <v>0</v>
      </c>
      <c r="H36" s="164">
        <f>+WPF_bazowy!H36+Symulacja!H19</f>
        <v>0</v>
      </c>
      <c r="I36" s="164">
        <f>+WPF_bazowy!I36+Symulacja!I19</f>
        <v>0</v>
      </c>
      <c r="J36" s="164">
        <f>+WPF_bazowy!J36+Symulacja!J19</f>
        <v>0</v>
      </c>
      <c r="K36" s="165">
        <f>+WPF_bazowy!K36+Symulacja!K19</f>
        <v>0</v>
      </c>
      <c r="L36" s="165">
        <f>+WPF_bazowy!L36+Symulacja!L19</f>
        <v>2000000</v>
      </c>
      <c r="M36" s="250">
        <f>+WPF_bazowy!M36+Symulacja!M19</f>
        <v>2000000</v>
      </c>
      <c r="N36" s="251">
        <f>+WPF_bazowy!N36+Symulacja!N19</f>
        <v>6500000</v>
      </c>
      <c r="O36" s="252">
        <f>+WPF_bazowy!O36+Symulacja!O19</f>
        <v>1000000</v>
      </c>
      <c r="P36" s="252">
        <f>+WPF_bazowy!P36+Symulacja!P19</f>
        <v>0</v>
      </c>
      <c r="Q36" s="252">
        <f>+WPF_bazowy!Q36+Symulacja!Q19</f>
        <v>0</v>
      </c>
      <c r="R36" s="252">
        <f>+WPF_bazowy!R36+Symulacja!R19</f>
        <v>0</v>
      </c>
      <c r="S36" s="252">
        <f>+WPF_bazowy!S36+Symulacja!S19</f>
        <v>0</v>
      </c>
      <c r="T36" s="252">
        <f>+WPF_bazowy!T36+Symulacja!T19</f>
        <v>0</v>
      </c>
      <c r="U36" s="252">
        <f>+WPF_bazowy!U36+Symulacja!U19</f>
        <v>0</v>
      </c>
      <c r="V36" s="252">
        <f>+WPF_bazowy!V36+Symulacja!V19</f>
        <v>0</v>
      </c>
      <c r="W36" s="252">
        <f>+WPF_bazowy!W36+Symulacja!W19</f>
        <v>0</v>
      </c>
      <c r="X36" s="252">
        <f>+WPF_bazowy!X36+Symulacja!X19</f>
        <v>0</v>
      </c>
      <c r="Y36" s="252">
        <f>+WPF_bazowy!Y36+Symulacja!Y19</f>
        <v>0</v>
      </c>
      <c r="Z36" s="252">
        <f>+WPF_bazowy!Z36+Symulacja!Z19</f>
        <v>0</v>
      </c>
      <c r="AA36" s="252">
        <f>+WPF_bazowy!AA36+Symulacja!AA19</f>
        <v>0</v>
      </c>
      <c r="AB36" s="252">
        <f>+WPF_bazowy!AB36+Symulacja!AB19</f>
        <v>0</v>
      </c>
      <c r="AC36" s="252">
        <f>+WPF_bazowy!AC36+Symulacja!AC19</f>
        <v>0</v>
      </c>
      <c r="AD36" s="252">
        <f>+WPF_bazowy!AD36+Symulacja!AD19</f>
        <v>0</v>
      </c>
      <c r="AE36" s="252">
        <f>+WPF_bazowy!AE36+Symulacja!AE19</f>
        <v>0</v>
      </c>
      <c r="AF36" s="252">
        <f>+WPF_bazowy!AF36+Symulacja!AF19</f>
        <v>0</v>
      </c>
      <c r="AG36" s="252">
        <f>+WPF_bazowy!AG36+Symulacja!AG19</f>
        <v>0</v>
      </c>
      <c r="AH36" s="252">
        <f>+WPF_bazowy!AH36+Symulacja!AH19</f>
        <v>0</v>
      </c>
      <c r="AI36" s="252">
        <f>+WPF_bazowy!AI36+Symulacja!AI19</f>
        <v>0</v>
      </c>
      <c r="AJ36" s="252">
        <f>+WPF_bazowy!AJ36+Symulacja!AJ19</f>
        <v>0</v>
      </c>
      <c r="AK36" s="252">
        <f>+WPF_bazowy!AK36+Symulacja!AK19</f>
        <v>0</v>
      </c>
      <c r="AL36" s="252">
        <f>+WPF_bazowy!AL36+Symulacja!AL19</f>
        <v>0</v>
      </c>
      <c r="AM36" s="252">
        <f>+WPF_bazowy!AM36+Symulacja!AM19</f>
        <v>0</v>
      </c>
      <c r="AN36" s="252">
        <f>+WPF_bazowy!AN36+Symulacja!AN19</f>
        <v>0</v>
      </c>
      <c r="AO36" s="252">
        <f>+WPF_bazowy!AO36+Symulacja!AO19</f>
        <v>0</v>
      </c>
      <c r="AP36" s="252">
        <f>+WPF_bazowy!AP36+Symulacja!AP19</f>
        <v>0</v>
      </c>
      <c r="AQ36" s="252">
        <f>+WPF_bazowy!AQ36+Symulacja!AQ19</f>
        <v>0</v>
      </c>
      <c r="AR36" s="252">
        <f>+WPF_bazowy!AR36+Symulacja!AR19</f>
        <v>0</v>
      </c>
      <c r="AS36" s="252">
        <f>+WPF_bazowy!AS36+Symulacja!AS19</f>
        <v>0</v>
      </c>
      <c r="AT36" s="252">
        <f>+WPF_bazowy!AT36+Symulacja!AT19</f>
        <v>0</v>
      </c>
      <c r="AU36" s="252">
        <f>+WPF_bazowy!AU36+Symulacja!AU19</f>
        <v>0</v>
      </c>
      <c r="AV36" s="252">
        <f>+WPF_bazowy!AV36+Symulacja!AV19</f>
        <v>0</v>
      </c>
      <c r="AW36" s="252">
        <f>+WPF_bazowy!AW36+Symulacja!AW19</f>
        <v>0</v>
      </c>
      <c r="AX36" s="252">
        <f>+WPF_bazowy!AX36+Symulacja!AX19</f>
        <v>0</v>
      </c>
      <c r="AY36" s="252">
        <f>+WPF_bazowy!AY36+Symulacja!AY19</f>
        <v>0</v>
      </c>
      <c r="AZ36" s="252">
        <f>+WPF_bazowy!AZ36+Symulacja!AZ19</f>
        <v>0</v>
      </c>
      <c r="BA36" s="253">
        <f>+WPF_bazowy!BA36+Symulacja!BA19</f>
        <v>0</v>
      </c>
    </row>
    <row r="37" spans="1:54" outlineLevel="2">
      <c r="A37" s="127" t="s">
        <v>27</v>
      </c>
      <c r="C37" s="162" t="s">
        <v>43</v>
      </c>
      <c r="D37" s="169"/>
      <c r="E37" s="213" t="s">
        <v>90</v>
      </c>
      <c r="F37" s="164">
        <f>+WPF_bazowy!F37</f>
        <v>0</v>
      </c>
      <c r="G37" s="164">
        <f>+WPF_bazowy!G37</f>
        <v>0</v>
      </c>
      <c r="H37" s="164">
        <f>+WPF_bazowy!H37</f>
        <v>0</v>
      </c>
      <c r="I37" s="164">
        <f>+WPF_bazowy!I37</f>
        <v>0</v>
      </c>
      <c r="J37" s="164">
        <f>+WPF_bazowy!J37</f>
        <v>0</v>
      </c>
      <c r="K37" s="165">
        <f>+WPF_bazowy!K37</f>
        <v>0</v>
      </c>
      <c r="L37" s="165">
        <f>+WPF_bazowy!L37</f>
        <v>0</v>
      </c>
      <c r="M37" s="250">
        <f>+WPF_bazowy!M37</f>
        <v>0</v>
      </c>
      <c r="N37" s="164">
        <f>+WPF_bazowy!N37</f>
        <v>6500000</v>
      </c>
      <c r="O37" s="165">
        <f>+WPF_bazowy!O37</f>
        <v>0</v>
      </c>
      <c r="P37" s="165">
        <f>+WPF_bazowy!P37</f>
        <v>0</v>
      </c>
      <c r="Q37" s="165">
        <f>+WPF_bazowy!Q37</f>
        <v>0</v>
      </c>
      <c r="R37" s="165">
        <f>+WPF_bazowy!R37</f>
        <v>0</v>
      </c>
      <c r="S37" s="165">
        <f>+WPF_bazowy!S37</f>
        <v>0</v>
      </c>
      <c r="T37" s="165">
        <f>+WPF_bazowy!T37</f>
        <v>0</v>
      </c>
      <c r="U37" s="165">
        <f>+WPF_bazowy!U37</f>
        <v>0</v>
      </c>
      <c r="V37" s="165">
        <f>+WPF_bazowy!V37</f>
        <v>0</v>
      </c>
      <c r="W37" s="165">
        <f>+WPF_bazowy!W37</f>
        <v>0</v>
      </c>
      <c r="X37" s="165">
        <f>+WPF_bazowy!X37</f>
        <v>0</v>
      </c>
      <c r="Y37" s="165">
        <f>+WPF_bazowy!Y37</f>
        <v>0</v>
      </c>
      <c r="Z37" s="165">
        <f>+WPF_bazowy!Z37</f>
        <v>0</v>
      </c>
      <c r="AA37" s="165">
        <f>+WPF_bazowy!AA37</f>
        <v>0</v>
      </c>
      <c r="AB37" s="165">
        <f>+WPF_bazowy!AB37</f>
        <v>0</v>
      </c>
      <c r="AC37" s="165">
        <f>+WPF_bazowy!AC37</f>
        <v>0</v>
      </c>
      <c r="AD37" s="165">
        <f>+WPF_bazowy!AD37</f>
        <v>0</v>
      </c>
      <c r="AE37" s="165">
        <f>+WPF_bazowy!AE37</f>
        <v>0</v>
      </c>
      <c r="AF37" s="165">
        <f>+WPF_bazowy!AF37</f>
        <v>0</v>
      </c>
      <c r="AG37" s="165">
        <f>+WPF_bazowy!AG37</f>
        <v>0</v>
      </c>
      <c r="AH37" s="165">
        <f>+WPF_bazowy!AH37</f>
        <v>0</v>
      </c>
      <c r="AI37" s="165">
        <f>+WPF_bazowy!AI37</f>
        <v>0</v>
      </c>
      <c r="AJ37" s="165">
        <f>+WPF_bazowy!AJ37</f>
        <v>0</v>
      </c>
      <c r="AK37" s="165">
        <f>+WPF_bazowy!AK37</f>
        <v>0</v>
      </c>
      <c r="AL37" s="165">
        <f>+WPF_bazowy!AL37</f>
        <v>0</v>
      </c>
      <c r="AM37" s="165">
        <f>+WPF_bazowy!AM37</f>
        <v>0</v>
      </c>
      <c r="AN37" s="165">
        <f>+WPF_bazowy!AN37</f>
        <v>0</v>
      </c>
      <c r="AO37" s="165">
        <f>+WPF_bazowy!AO37</f>
        <v>0</v>
      </c>
      <c r="AP37" s="165">
        <f>+WPF_bazowy!AP37</f>
        <v>0</v>
      </c>
      <c r="AQ37" s="165">
        <f>+WPF_bazowy!AQ37</f>
        <v>0</v>
      </c>
      <c r="AR37" s="165">
        <f>+WPF_bazowy!AR37</f>
        <v>0</v>
      </c>
      <c r="AS37" s="165">
        <f>+WPF_bazowy!AS37</f>
        <v>0</v>
      </c>
      <c r="AT37" s="165">
        <f>+WPF_bazowy!AT37</f>
        <v>0</v>
      </c>
      <c r="AU37" s="165">
        <f>+WPF_bazowy!AU37</f>
        <v>0</v>
      </c>
      <c r="AV37" s="165">
        <f>+WPF_bazowy!AV37</f>
        <v>0</v>
      </c>
      <c r="AW37" s="165">
        <f>+WPF_bazowy!AW37</f>
        <v>0</v>
      </c>
      <c r="AX37" s="165">
        <f>+WPF_bazowy!AX37</f>
        <v>0</v>
      </c>
      <c r="AY37" s="165">
        <f>+WPF_bazowy!AY37</f>
        <v>0</v>
      </c>
      <c r="AZ37" s="165">
        <f>+WPF_bazowy!AZ37</f>
        <v>0</v>
      </c>
      <c r="BA37" s="178">
        <f>+WPF_bazowy!BA37</f>
        <v>0</v>
      </c>
    </row>
    <row r="38" spans="1:54" outlineLevel="1">
      <c r="A38" s="127" t="s">
        <v>27</v>
      </c>
      <c r="C38" s="162" t="s">
        <v>56</v>
      </c>
      <c r="D38" s="169"/>
      <c r="E38" s="234" t="s">
        <v>89</v>
      </c>
      <c r="F38" s="164">
        <f>+WPF_bazowy!F38+Symulacja!F20</f>
        <v>0</v>
      </c>
      <c r="G38" s="164">
        <f>+WPF_bazowy!G38+Symulacja!G20</f>
        <v>0</v>
      </c>
      <c r="H38" s="164">
        <f>+WPF_bazowy!H38+Symulacja!H20</f>
        <v>0</v>
      </c>
      <c r="I38" s="164">
        <f>+WPF_bazowy!I38+Symulacja!I20</f>
        <v>0</v>
      </c>
      <c r="J38" s="164">
        <f>+WPF_bazowy!J38+Symulacja!J20</f>
        <v>0</v>
      </c>
      <c r="K38" s="165">
        <f>+WPF_bazowy!K38+Symulacja!K20</f>
        <v>3913269.35</v>
      </c>
      <c r="L38" s="165">
        <f>+WPF_bazowy!L38+Symulacja!L20</f>
        <v>8371249</v>
      </c>
      <c r="M38" s="250">
        <f>+WPF_bazowy!M38+Symulacja!M20</f>
        <v>8412721.8399999999</v>
      </c>
      <c r="N38" s="251">
        <f>+WPF_bazowy!N38+Symulacja!N20</f>
        <v>410548</v>
      </c>
      <c r="O38" s="252">
        <f>+WPF_bazowy!O38+Symulacja!O20</f>
        <v>0</v>
      </c>
      <c r="P38" s="252">
        <f>+WPF_bazowy!P38+Symulacja!P20</f>
        <v>0</v>
      </c>
      <c r="Q38" s="252">
        <f>+WPF_bazowy!Q38+Symulacja!Q20</f>
        <v>0</v>
      </c>
      <c r="R38" s="252">
        <f>+WPF_bazowy!R38+Symulacja!R20</f>
        <v>0</v>
      </c>
      <c r="S38" s="252">
        <f>+WPF_bazowy!S38+Symulacja!S20</f>
        <v>0</v>
      </c>
      <c r="T38" s="252">
        <f>+WPF_bazowy!T38+Symulacja!T20</f>
        <v>0</v>
      </c>
      <c r="U38" s="252">
        <f>+WPF_bazowy!U38+Symulacja!U20</f>
        <v>0</v>
      </c>
      <c r="V38" s="252">
        <f>+WPF_bazowy!V38+Symulacja!V20</f>
        <v>0</v>
      </c>
      <c r="W38" s="252">
        <f>+WPF_bazowy!W38+Symulacja!W20</f>
        <v>0</v>
      </c>
      <c r="X38" s="252">
        <f>+WPF_bazowy!X38+Symulacja!X20</f>
        <v>0</v>
      </c>
      <c r="Y38" s="252">
        <f>+WPF_bazowy!Y38+Symulacja!Y20</f>
        <v>0</v>
      </c>
      <c r="Z38" s="252">
        <f>+WPF_bazowy!Z38+Symulacja!Z20</f>
        <v>0</v>
      </c>
      <c r="AA38" s="252">
        <f>+WPF_bazowy!AA38+Symulacja!AA20</f>
        <v>0</v>
      </c>
      <c r="AB38" s="252">
        <f>+WPF_bazowy!AB38+Symulacja!AB20</f>
        <v>0</v>
      </c>
      <c r="AC38" s="252">
        <f>+WPF_bazowy!AC38+Symulacja!AC20</f>
        <v>0</v>
      </c>
      <c r="AD38" s="252">
        <f>+WPF_bazowy!AD38+Symulacja!AD20</f>
        <v>0</v>
      </c>
      <c r="AE38" s="252">
        <f>+WPF_bazowy!AE38+Symulacja!AE20</f>
        <v>0</v>
      </c>
      <c r="AF38" s="252">
        <f>+WPF_bazowy!AF38+Symulacja!AF20</f>
        <v>0</v>
      </c>
      <c r="AG38" s="252">
        <f>+WPF_bazowy!AG38+Symulacja!AG20</f>
        <v>0</v>
      </c>
      <c r="AH38" s="252">
        <f>+WPF_bazowy!AH38+Symulacja!AH20</f>
        <v>0</v>
      </c>
      <c r="AI38" s="252">
        <f>+WPF_bazowy!AI38+Symulacja!AI20</f>
        <v>0</v>
      </c>
      <c r="AJ38" s="252">
        <f>+WPF_bazowy!AJ38+Symulacja!AJ20</f>
        <v>0</v>
      </c>
      <c r="AK38" s="252">
        <f>+WPF_bazowy!AK38+Symulacja!AK20</f>
        <v>0</v>
      </c>
      <c r="AL38" s="252">
        <f>+WPF_bazowy!AL38+Symulacja!AL20</f>
        <v>0</v>
      </c>
      <c r="AM38" s="252">
        <f>+WPF_bazowy!AM38+Symulacja!AM20</f>
        <v>0</v>
      </c>
      <c r="AN38" s="252">
        <f>+WPF_bazowy!AN38+Symulacja!AN20</f>
        <v>0</v>
      </c>
      <c r="AO38" s="252">
        <f>+WPF_bazowy!AO38+Symulacja!AO20</f>
        <v>0</v>
      </c>
      <c r="AP38" s="252">
        <f>+WPF_bazowy!AP38+Symulacja!AP20</f>
        <v>0</v>
      </c>
      <c r="AQ38" s="252">
        <f>+WPF_bazowy!AQ38+Symulacja!AQ20</f>
        <v>0</v>
      </c>
      <c r="AR38" s="252">
        <f>+WPF_bazowy!AR38+Symulacja!AR20</f>
        <v>0</v>
      </c>
      <c r="AS38" s="252">
        <f>+WPF_bazowy!AS38+Symulacja!AS20</f>
        <v>0</v>
      </c>
      <c r="AT38" s="252">
        <f>+WPF_bazowy!AT38+Symulacja!AT20</f>
        <v>0</v>
      </c>
      <c r="AU38" s="252">
        <f>+WPF_bazowy!AU38+Symulacja!AU20</f>
        <v>0</v>
      </c>
      <c r="AV38" s="252">
        <f>+WPF_bazowy!AV38+Symulacja!AV20</f>
        <v>0</v>
      </c>
      <c r="AW38" s="252">
        <f>+WPF_bazowy!AW38+Symulacja!AW20</f>
        <v>0</v>
      </c>
      <c r="AX38" s="252">
        <f>+WPF_bazowy!AX38+Symulacja!AX20</f>
        <v>0</v>
      </c>
      <c r="AY38" s="252">
        <f>+WPF_bazowy!AY38+Symulacja!AY20</f>
        <v>0</v>
      </c>
      <c r="AZ38" s="252">
        <f>+WPF_bazowy!AZ38+Symulacja!AZ20</f>
        <v>0</v>
      </c>
      <c r="BA38" s="253">
        <f>+WPF_bazowy!BA38+Symulacja!BA20</f>
        <v>0</v>
      </c>
    </row>
    <row r="39" spans="1:54" outlineLevel="2">
      <c r="A39" s="127" t="s">
        <v>27</v>
      </c>
      <c r="C39" s="162" t="s">
        <v>44</v>
      </c>
      <c r="D39" s="169"/>
      <c r="E39" s="213" t="s">
        <v>90</v>
      </c>
      <c r="F39" s="164">
        <f>+WPF_bazowy!F39</f>
        <v>0</v>
      </c>
      <c r="G39" s="164">
        <f>+WPF_bazowy!G39</f>
        <v>0</v>
      </c>
      <c r="H39" s="164">
        <f>+WPF_bazowy!H39</f>
        <v>0</v>
      </c>
      <c r="I39" s="164">
        <f>+WPF_bazowy!I39</f>
        <v>0</v>
      </c>
      <c r="J39" s="164">
        <f>+WPF_bazowy!J39</f>
        <v>0</v>
      </c>
      <c r="K39" s="165">
        <f>+WPF_bazowy!K39</f>
        <v>0</v>
      </c>
      <c r="L39" s="165">
        <f>+WPF_bazowy!L39</f>
        <v>8281249</v>
      </c>
      <c r="M39" s="250">
        <f>+WPF_bazowy!M39</f>
        <v>0</v>
      </c>
      <c r="N39" s="164">
        <f>+WPF_bazowy!N39</f>
        <v>410548</v>
      </c>
      <c r="O39" s="165">
        <f>+WPF_bazowy!O39</f>
        <v>0</v>
      </c>
      <c r="P39" s="165">
        <f>+WPF_bazowy!P39</f>
        <v>0</v>
      </c>
      <c r="Q39" s="165">
        <f>+WPF_bazowy!Q39</f>
        <v>0</v>
      </c>
      <c r="R39" s="165">
        <f>+WPF_bazowy!R39</f>
        <v>0</v>
      </c>
      <c r="S39" s="165">
        <f>+WPF_bazowy!S39</f>
        <v>0</v>
      </c>
      <c r="T39" s="165">
        <f>+WPF_bazowy!T39</f>
        <v>0</v>
      </c>
      <c r="U39" s="165">
        <f>+WPF_bazowy!U39</f>
        <v>0</v>
      </c>
      <c r="V39" s="165">
        <f>+WPF_bazowy!V39</f>
        <v>0</v>
      </c>
      <c r="W39" s="165">
        <f>+WPF_bazowy!W39</f>
        <v>0</v>
      </c>
      <c r="X39" s="165">
        <f>+WPF_bazowy!X39</f>
        <v>0</v>
      </c>
      <c r="Y39" s="165">
        <f>+WPF_bazowy!Y39</f>
        <v>0</v>
      </c>
      <c r="Z39" s="165">
        <f>+WPF_bazowy!Z39</f>
        <v>0</v>
      </c>
      <c r="AA39" s="165">
        <f>+WPF_bazowy!AA39</f>
        <v>0</v>
      </c>
      <c r="AB39" s="165">
        <f>+WPF_bazowy!AB39</f>
        <v>0</v>
      </c>
      <c r="AC39" s="165">
        <f>+WPF_bazowy!AC39</f>
        <v>0</v>
      </c>
      <c r="AD39" s="165">
        <f>+WPF_bazowy!AD39</f>
        <v>0</v>
      </c>
      <c r="AE39" s="165">
        <f>+WPF_bazowy!AE39</f>
        <v>0</v>
      </c>
      <c r="AF39" s="165">
        <f>+WPF_bazowy!AF39</f>
        <v>0</v>
      </c>
      <c r="AG39" s="165">
        <f>+WPF_bazowy!AG39</f>
        <v>0</v>
      </c>
      <c r="AH39" s="165">
        <f>+WPF_bazowy!AH39</f>
        <v>0</v>
      </c>
      <c r="AI39" s="165">
        <f>+WPF_bazowy!AI39</f>
        <v>0</v>
      </c>
      <c r="AJ39" s="165">
        <f>+WPF_bazowy!AJ39</f>
        <v>0</v>
      </c>
      <c r="AK39" s="165">
        <f>+WPF_bazowy!AK39</f>
        <v>0</v>
      </c>
      <c r="AL39" s="165">
        <f>+WPF_bazowy!AL39</f>
        <v>0</v>
      </c>
      <c r="AM39" s="165">
        <f>+WPF_bazowy!AM39</f>
        <v>0</v>
      </c>
      <c r="AN39" s="165">
        <f>+WPF_bazowy!AN39</f>
        <v>0</v>
      </c>
      <c r="AO39" s="165">
        <f>+WPF_bazowy!AO39</f>
        <v>0</v>
      </c>
      <c r="AP39" s="165">
        <f>+WPF_bazowy!AP39</f>
        <v>0</v>
      </c>
      <c r="AQ39" s="165">
        <f>+WPF_bazowy!AQ39</f>
        <v>0</v>
      </c>
      <c r="AR39" s="165">
        <f>+WPF_bazowy!AR39</f>
        <v>0</v>
      </c>
      <c r="AS39" s="165">
        <f>+WPF_bazowy!AS39</f>
        <v>0</v>
      </c>
      <c r="AT39" s="165">
        <f>+WPF_bazowy!AT39</f>
        <v>0</v>
      </c>
      <c r="AU39" s="165">
        <f>+WPF_bazowy!AU39</f>
        <v>0</v>
      </c>
      <c r="AV39" s="165">
        <f>+WPF_bazowy!AV39</f>
        <v>0</v>
      </c>
      <c r="AW39" s="165">
        <f>+WPF_bazowy!AW39</f>
        <v>0</v>
      </c>
      <c r="AX39" s="165">
        <f>+WPF_bazowy!AX39</f>
        <v>0</v>
      </c>
      <c r="AY39" s="165">
        <f>+WPF_bazowy!AY39</f>
        <v>0</v>
      </c>
      <c r="AZ39" s="165">
        <f>+WPF_bazowy!AZ39</f>
        <v>0</v>
      </c>
      <c r="BA39" s="178">
        <f>+WPF_bazowy!BA39</f>
        <v>0</v>
      </c>
    </row>
    <row r="40" spans="1:54" outlineLevel="1">
      <c r="A40" s="127" t="s">
        <v>27</v>
      </c>
      <c r="C40" s="162" t="s">
        <v>57</v>
      </c>
      <c r="D40" s="169"/>
      <c r="E40" s="234" t="s">
        <v>322</v>
      </c>
      <c r="F40" s="164">
        <f>+WPF_bazowy!F40+Symulacja!F21</f>
        <v>0</v>
      </c>
      <c r="G40" s="164">
        <f>+WPF_bazowy!G40+Symulacja!G21</f>
        <v>0</v>
      </c>
      <c r="H40" s="164">
        <f>+WPF_bazowy!H40+Symulacja!H21</f>
        <v>0</v>
      </c>
      <c r="I40" s="164">
        <f>+WPF_bazowy!I40+Symulacja!I21</f>
        <v>0</v>
      </c>
      <c r="J40" s="164">
        <f>+WPF_bazowy!J40+Symulacja!J21</f>
        <v>1699428.56</v>
      </c>
      <c r="K40" s="165">
        <f>+WPF_bazowy!K40+Symulacja!K21</f>
        <v>2993278.28</v>
      </c>
      <c r="L40" s="165">
        <f>+WPF_bazowy!L40+Symulacja!L21</f>
        <v>2218751</v>
      </c>
      <c r="M40" s="250">
        <f>+WPF_bazowy!M40+Symulacja!M21</f>
        <v>2218751</v>
      </c>
      <c r="N40" s="251">
        <f>+WPF_bazowy!N40+Symulacja!N21</f>
        <v>7719990</v>
      </c>
      <c r="O40" s="252">
        <f>+WPF_bazowy!O40+Symulacja!O21</f>
        <v>0</v>
      </c>
      <c r="P40" s="252">
        <f>+WPF_bazowy!P40+Symulacja!P21</f>
        <v>0</v>
      </c>
      <c r="Q40" s="252">
        <f>+WPF_bazowy!Q40+Symulacja!Q21</f>
        <v>0</v>
      </c>
      <c r="R40" s="252">
        <f>+WPF_bazowy!R40+Symulacja!R21</f>
        <v>0</v>
      </c>
      <c r="S40" s="252">
        <f>+WPF_bazowy!S40+Symulacja!S21</f>
        <v>0</v>
      </c>
      <c r="T40" s="252">
        <f>+WPF_bazowy!T40+Symulacja!T21</f>
        <v>0</v>
      </c>
      <c r="U40" s="252">
        <f>+WPF_bazowy!U40+Symulacja!U21</f>
        <v>0</v>
      </c>
      <c r="V40" s="252">
        <f>+WPF_bazowy!V40+Symulacja!V21</f>
        <v>0</v>
      </c>
      <c r="W40" s="252">
        <f>+WPF_bazowy!W40+Symulacja!W21</f>
        <v>0</v>
      </c>
      <c r="X40" s="252">
        <f>+WPF_bazowy!X40+Symulacja!X21</f>
        <v>0</v>
      </c>
      <c r="Y40" s="252">
        <f>+WPF_bazowy!Y40+Symulacja!Y21</f>
        <v>0</v>
      </c>
      <c r="Z40" s="252">
        <f>+WPF_bazowy!Z40+Symulacja!Z21</f>
        <v>0</v>
      </c>
      <c r="AA40" s="252">
        <f>+WPF_bazowy!AA40+Symulacja!AA21</f>
        <v>0</v>
      </c>
      <c r="AB40" s="252">
        <f>+WPF_bazowy!AB40+Symulacja!AB21</f>
        <v>0</v>
      </c>
      <c r="AC40" s="252">
        <f>+WPF_bazowy!AC40+Symulacja!AC21</f>
        <v>0</v>
      </c>
      <c r="AD40" s="252">
        <f>+WPF_bazowy!AD40+Symulacja!AD21</f>
        <v>0</v>
      </c>
      <c r="AE40" s="252">
        <f>+WPF_bazowy!AE40+Symulacja!AE21</f>
        <v>0</v>
      </c>
      <c r="AF40" s="252">
        <f>+WPF_bazowy!AF40+Symulacja!AF21</f>
        <v>0</v>
      </c>
      <c r="AG40" s="252">
        <f>+WPF_bazowy!AG40+Symulacja!AG21</f>
        <v>0</v>
      </c>
      <c r="AH40" s="252">
        <f>+WPF_bazowy!AH40+Symulacja!AH21</f>
        <v>0</v>
      </c>
      <c r="AI40" s="252">
        <f>+WPF_bazowy!AI40+Symulacja!AI21</f>
        <v>0</v>
      </c>
      <c r="AJ40" s="252">
        <f>+WPF_bazowy!AJ40+Symulacja!AJ21</f>
        <v>0</v>
      </c>
      <c r="AK40" s="252">
        <f>+WPF_bazowy!AK40+Symulacja!AK21</f>
        <v>0</v>
      </c>
      <c r="AL40" s="252">
        <f>+WPF_bazowy!AL40+Symulacja!AL21</f>
        <v>0</v>
      </c>
      <c r="AM40" s="252">
        <f>+WPF_bazowy!AM40+Symulacja!AM21</f>
        <v>0</v>
      </c>
      <c r="AN40" s="252">
        <f>+WPF_bazowy!AN40+Symulacja!AN21</f>
        <v>0</v>
      </c>
      <c r="AO40" s="252">
        <f>+WPF_bazowy!AO40+Symulacja!AO21</f>
        <v>0</v>
      </c>
      <c r="AP40" s="252">
        <f>+WPF_bazowy!AP40+Symulacja!AP21</f>
        <v>0</v>
      </c>
      <c r="AQ40" s="252">
        <f>+WPF_bazowy!AQ40+Symulacja!AQ21</f>
        <v>0</v>
      </c>
      <c r="AR40" s="252">
        <f>+WPF_bazowy!AR40+Symulacja!AR21</f>
        <v>0</v>
      </c>
      <c r="AS40" s="252">
        <f>+WPF_bazowy!AS40+Symulacja!AS21</f>
        <v>0</v>
      </c>
      <c r="AT40" s="252">
        <f>+WPF_bazowy!AT40+Symulacja!AT21</f>
        <v>0</v>
      </c>
      <c r="AU40" s="252">
        <f>+WPF_bazowy!AU40+Symulacja!AU21</f>
        <v>0</v>
      </c>
      <c r="AV40" s="252">
        <f>+WPF_bazowy!AV40+Symulacja!AV21</f>
        <v>0</v>
      </c>
      <c r="AW40" s="252">
        <f>+WPF_bazowy!AW40+Symulacja!AW21</f>
        <v>0</v>
      </c>
      <c r="AX40" s="252">
        <f>+WPF_bazowy!AX40+Symulacja!AX21</f>
        <v>0</v>
      </c>
      <c r="AY40" s="252">
        <f>+WPF_bazowy!AY40+Symulacja!AY21</f>
        <v>0</v>
      </c>
      <c r="AZ40" s="252">
        <f>+WPF_bazowy!AZ40+Symulacja!AZ21</f>
        <v>0</v>
      </c>
      <c r="BA40" s="253">
        <f>+WPF_bazowy!BA40+Symulacja!BA21</f>
        <v>0</v>
      </c>
    </row>
    <row r="41" spans="1:54" outlineLevel="2">
      <c r="A41" s="127" t="s">
        <v>27</v>
      </c>
      <c r="C41" s="162" t="s">
        <v>45</v>
      </c>
      <c r="D41" s="169"/>
      <c r="E41" s="213" t="s">
        <v>90</v>
      </c>
      <c r="F41" s="164">
        <f>+WPF_bazowy!F41</f>
        <v>0</v>
      </c>
      <c r="G41" s="164">
        <f>+WPF_bazowy!G41</f>
        <v>0</v>
      </c>
      <c r="H41" s="164">
        <f>+WPF_bazowy!H41</f>
        <v>0</v>
      </c>
      <c r="I41" s="164">
        <f>+WPF_bazowy!I41</f>
        <v>0</v>
      </c>
      <c r="J41" s="164">
        <f>+WPF_bazowy!J41</f>
        <v>0</v>
      </c>
      <c r="K41" s="165">
        <f>+WPF_bazowy!K41</f>
        <v>0</v>
      </c>
      <c r="L41" s="165">
        <f>+WPF_bazowy!L41</f>
        <v>2218751</v>
      </c>
      <c r="M41" s="250">
        <f>+WPF_bazowy!M41</f>
        <v>0</v>
      </c>
      <c r="N41" s="164">
        <f>+WPF_bazowy!N41</f>
        <v>7719990</v>
      </c>
      <c r="O41" s="165">
        <f>+WPF_bazowy!O41</f>
        <v>0</v>
      </c>
      <c r="P41" s="165">
        <f>+WPF_bazowy!P41</f>
        <v>0</v>
      </c>
      <c r="Q41" s="165">
        <f>+WPF_bazowy!Q41</f>
        <v>0</v>
      </c>
      <c r="R41" s="165">
        <f>+WPF_bazowy!R41</f>
        <v>0</v>
      </c>
      <c r="S41" s="165">
        <f>+WPF_bazowy!S41</f>
        <v>0</v>
      </c>
      <c r="T41" s="165">
        <f>+WPF_bazowy!T41</f>
        <v>0</v>
      </c>
      <c r="U41" s="165">
        <f>+WPF_bazowy!U41</f>
        <v>0</v>
      </c>
      <c r="V41" s="165">
        <f>+WPF_bazowy!V41</f>
        <v>0</v>
      </c>
      <c r="W41" s="165">
        <f>+WPF_bazowy!W41</f>
        <v>0</v>
      </c>
      <c r="X41" s="165">
        <f>+WPF_bazowy!X41</f>
        <v>0</v>
      </c>
      <c r="Y41" s="165">
        <f>+WPF_bazowy!Y41</f>
        <v>0</v>
      </c>
      <c r="Z41" s="165">
        <f>+WPF_bazowy!Z41</f>
        <v>0</v>
      </c>
      <c r="AA41" s="165">
        <f>+WPF_bazowy!AA41</f>
        <v>0</v>
      </c>
      <c r="AB41" s="165">
        <f>+WPF_bazowy!AB41</f>
        <v>0</v>
      </c>
      <c r="AC41" s="165">
        <f>+WPF_bazowy!AC41</f>
        <v>0</v>
      </c>
      <c r="AD41" s="165">
        <f>+WPF_bazowy!AD41</f>
        <v>0</v>
      </c>
      <c r="AE41" s="165">
        <f>+WPF_bazowy!AE41</f>
        <v>0</v>
      </c>
      <c r="AF41" s="165">
        <f>+WPF_bazowy!AF41</f>
        <v>0</v>
      </c>
      <c r="AG41" s="165">
        <f>+WPF_bazowy!AG41</f>
        <v>0</v>
      </c>
      <c r="AH41" s="165">
        <f>+WPF_bazowy!AH41</f>
        <v>0</v>
      </c>
      <c r="AI41" s="165">
        <f>+WPF_bazowy!AI41</f>
        <v>0</v>
      </c>
      <c r="AJ41" s="165">
        <f>+WPF_bazowy!AJ41</f>
        <v>0</v>
      </c>
      <c r="AK41" s="165">
        <f>+WPF_bazowy!AK41</f>
        <v>0</v>
      </c>
      <c r="AL41" s="165">
        <f>+WPF_bazowy!AL41</f>
        <v>0</v>
      </c>
      <c r="AM41" s="165">
        <f>+WPF_bazowy!AM41</f>
        <v>0</v>
      </c>
      <c r="AN41" s="165">
        <f>+WPF_bazowy!AN41</f>
        <v>0</v>
      </c>
      <c r="AO41" s="165">
        <f>+WPF_bazowy!AO41</f>
        <v>0</v>
      </c>
      <c r="AP41" s="165">
        <f>+WPF_bazowy!AP41</f>
        <v>0</v>
      </c>
      <c r="AQ41" s="165">
        <f>+WPF_bazowy!AQ41</f>
        <v>0</v>
      </c>
      <c r="AR41" s="165">
        <f>+WPF_bazowy!AR41</f>
        <v>0</v>
      </c>
      <c r="AS41" s="165">
        <f>+WPF_bazowy!AS41</f>
        <v>0</v>
      </c>
      <c r="AT41" s="165">
        <f>+WPF_bazowy!AT41</f>
        <v>0</v>
      </c>
      <c r="AU41" s="165">
        <f>+WPF_bazowy!AU41</f>
        <v>0</v>
      </c>
      <c r="AV41" s="165">
        <f>+WPF_bazowy!AV41</f>
        <v>0</v>
      </c>
      <c r="AW41" s="165">
        <f>+WPF_bazowy!AW41</f>
        <v>0</v>
      </c>
      <c r="AX41" s="165">
        <f>+WPF_bazowy!AX41</f>
        <v>0</v>
      </c>
      <c r="AY41" s="165">
        <f>+WPF_bazowy!AY41</f>
        <v>0</v>
      </c>
      <c r="AZ41" s="165">
        <f>+WPF_bazowy!AZ41</f>
        <v>0</v>
      </c>
      <c r="BA41" s="178">
        <f>+WPF_bazowy!BA41</f>
        <v>0</v>
      </c>
    </row>
    <row r="42" spans="1:54" ht="15" outlineLevel="1">
      <c r="A42" s="127" t="s">
        <v>27</v>
      </c>
      <c r="C42" s="162" t="s">
        <v>58</v>
      </c>
      <c r="D42" s="169"/>
      <c r="E42" s="234" t="s">
        <v>323</v>
      </c>
      <c r="F42" s="164">
        <f>+WPF_bazowy!F42+Symulacja!F22</f>
        <v>0</v>
      </c>
      <c r="G42" s="164">
        <f>+WPF_bazowy!G42+Symulacja!G22</f>
        <v>0</v>
      </c>
      <c r="H42" s="164">
        <f>+WPF_bazowy!H42+Symulacja!H22</f>
        <v>0</v>
      </c>
      <c r="I42" s="164">
        <f>+WPF_bazowy!I42+Symulacja!I22</f>
        <v>0</v>
      </c>
      <c r="J42" s="164">
        <f>+WPF_bazowy!J42+Symulacja!J22</f>
        <v>0</v>
      </c>
      <c r="K42" s="165">
        <f>+WPF_bazowy!K42+Symulacja!K22</f>
        <v>0</v>
      </c>
      <c r="L42" s="165">
        <f>+WPF_bazowy!L42+Symulacja!L22</f>
        <v>0</v>
      </c>
      <c r="M42" s="250">
        <f>+WPF_bazowy!M42+Symulacja!M22</f>
        <v>0</v>
      </c>
      <c r="N42" s="251">
        <f>+WPF_bazowy!N42+Symulacja!N22</f>
        <v>32000</v>
      </c>
      <c r="O42" s="252">
        <f>+WPF_bazowy!O42+Symulacja!O22</f>
        <v>0</v>
      </c>
      <c r="P42" s="252">
        <f>+WPF_bazowy!P42+Symulacja!P22</f>
        <v>0</v>
      </c>
      <c r="Q42" s="252">
        <f>+WPF_bazowy!Q42+Symulacja!Q22</f>
        <v>0</v>
      </c>
      <c r="R42" s="252">
        <f>+WPF_bazowy!R42+Symulacja!R22</f>
        <v>0</v>
      </c>
      <c r="S42" s="252">
        <f>+WPF_bazowy!S42+Symulacja!S22</f>
        <v>0</v>
      </c>
      <c r="T42" s="252">
        <f>+WPF_bazowy!T42+Symulacja!T22</f>
        <v>0</v>
      </c>
      <c r="U42" s="252">
        <f>+WPF_bazowy!U42+Symulacja!U22</f>
        <v>0</v>
      </c>
      <c r="V42" s="252">
        <f>+WPF_bazowy!V42+Symulacja!V22</f>
        <v>0</v>
      </c>
      <c r="W42" s="252">
        <f>+WPF_bazowy!W42+Symulacja!W22</f>
        <v>0</v>
      </c>
      <c r="X42" s="252">
        <f>+WPF_bazowy!X42+Symulacja!X22</f>
        <v>0</v>
      </c>
      <c r="Y42" s="252">
        <f>+WPF_bazowy!Y42+Symulacja!Y22</f>
        <v>0</v>
      </c>
      <c r="Z42" s="252">
        <f>+WPF_bazowy!Z42+Symulacja!Z22</f>
        <v>0</v>
      </c>
      <c r="AA42" s="252">
        <f>+WPF_bazowy!AA42+Symulacja!AA22</f>
        <v>0</v>
      </c>
      <c r="AB42" s="252">
        <f>+WPF_bazowy!AB42+Symulacja!AB22</f>
        <v>0</v>
      </c>
      <c r="AC42" s="252">
        <f>+WPF_bazowy!AC42+Symulacja!AC22</f>
        <v>0</v>
      </c>
      <c r="AD42" s="252">
        <f>+WPF_bazowy!AD42+Symulacja!AD22</f>
        <v>0</v>
      </c>
      <c r="AE42" s="252">
        <f>+WPF_bazowy!AE42+Symulacja!AE22</f>
        <v>0</v>
      </c>
      <c r="AF42" s="252">
        <f>+WPF_bazowy!AF42+Symulacja!AF22</f>
        <v>0</v>
      </c>
      <c r="AG42" s="252">
        <f>+WPF_bazowy!AG42+Symulacja!AG22</f>
        <v>0</v>
      </c>
      <c r="AH42" s="252">
        <f>+WPF_bazowy!AH42+Symulacja!AH22</f>
        <v>0</v>
      </c>
      <c r="AI42" s="252">
        <f>+WPF_bazowy!AI42+Symulacja!AI22</f>
        <v>0</v>
      </c>
      <c r="AJ42" s="252">
        <f>+WPF_bazowy!AJ42+Symulacja!AJ22</f>
        <v>0</v>
      </c>
      <c r="AK42" s="252">
        <f>+WPF_bazowy!AK42+Symulacja!AK22</f>
        <v>0</v>
      </c>
      <c r="AL42" s="252">
        <f>+WPF_bazowy!AL42+Symulacja!AL22</f>
        <v>0</v>
      </c>
      <c r="AM42" s="252">
        <f>+WPF_bazowy!AM42+Symulacja!AM22</f>
        <v>0</v>
      </c>
      <c r="AN42" s="252">
        <f>+WPF_bazowy!AN42+Symulacja!AN22</f>
        <v>0</v>
      </c>
      <c r="AO42" s="252">
        <f>+WPF_bazowy!AO42+Symulacja!AO22</f>
        <v>0</v>
      </c>
      <c r="AP42" s="252">
        <f>+WPF_bazowy!AP42+Symulacja!AP22</f>
        <v>0</v>
      </c>
      <c r="AQ42" s="252">
        <f>+WPF_bazowy!AQ42+Symulacja!AQ22</f>
        <v>0</v>
      </c>
      <c r="AR42" s="252">
        <f>+WPF_bazowy!AR42+Symulacja!AR22</f>
        <v>0</v>
      </c>
      <c r="AS42" s="252">
        <f>+WPF_bazowy!AS42+Symulacja!AS22</f>
        <v>0</v>
      </c>
      <c r="AT42" s="252">
        <f>+WPF_bazowy!AT42+Symulacja!AT22</f>
        <v>0</v>
      </c>
      <c r="AU42" s="252">
        <f>+WPF_bazowy!AU42+Symulacja!AU22</f>
        <v>0</v>
      </c>
      <c r="AV42" s="252">
        <f>+WPF_bazowy!AV42+Symulacja!AV22</f>
        <v>0</v>
      </c>
      <c r="AW42" s="252">
        <f>+WPF_bazowy!AW42+Symulacja!AW22</f>
        <v>0</v>
      </c>
      <c r="AX42" s="252">
        <f>+WPF_bazowy!AX42+Symulacja!AX22</f>
        <v>0</v>
      </c>
      <c r="AY42" s="252">
        <f>+WPF_bazowy!AY42+Symulacja!AY22</f>
        <v>0</v>
      </c>
      <c r="AZ42" s="252">
        <f>+WPF_bazowy!AZ42+Symulacja!AZ22</f>
        <v>0</v>
      </c>
      <c r="BA42" s="253">
        <f>+WPF_bazowy!BA42+Symulacja!BA22</f>
        <v>0</v>
      </c>
      <c r="BB42" s="153"/>
    </row>
    <row r="43" spans="1:54" outlineLevel="2">
      <c r="A43" s="127" t="s">
        <v>27</v>
      </c>
      <c r="C43" s="162" t="s">
        <v>46</v>
      </c>
      <c r="D43" s="169"/>
      <c r="E43" s="213" t="s">
        <v>90</v>
      </c>
      <c r="F43" s="164">
        <f>+WPF_bazowy!F43</f>
        <v>0</v>
      </c>
      <c r="G43" s="164">
        <f>+WPF_bazowy!G43</f>
        <v>0</v>
      </c>
      <c r="H43" s="164">
        <f>+WPF_bazowy!H43</f>
        <v>0</v>
      </c>
      <c r="I43" s="164">
        <f>+WPF_bazowy!I43</f>
        <v>0</v>
      </c>
      <c r="J43" s="164">
        <f>+WPF_bazowy!J43</f>
        <v>0</v>
      </c>
      <c r="K43" s="165">
        <f>+WPF_bazowy!K43</f>
        <v>0</v>
      </c>
      <c r="L43" s="165">
        <f>+WPF_bazowy!L43</f>
        <v>0</v>
      </c>
      <c r="M43" s="250">
        <f>+WPF_bazowy!M43</f>
        <v>0</v>
      </c>
      <c r="N43" s="164">
        <f>+WPF_bazowy!N43</f>
        <v>32000</v>
      </c>
      <c r="O43" s="165">
        <f>+WPF_bazowy!O43</f>
        <v>0</v>
      </c>
      <c r="P43" s="165">
        <f>+WPF_bazowy!P43</f>
        <v>0</v>
      </c>
      <c r="Q43" s="165">
        <f>+WPF_bazowy!Q43</f>
        <v>0</v>
      </c>
      <c r="R43" s="165">
        <f>+WPF_bazowy!R43</f>
        <v>0</v>
      </c>
      <c r="S43" s="165">
        <f>+WPF_bazowy!S43</f>
        <v>0</v>
      </c>
      <c r="T43" s="165">
        <f>+WPF_bazowy!T43</f>
        <v>0</v>
      </c>
      <c r="U43" s="165">
        <f>+WPF_bazowy!U43</f>
        <v>0</v>
      </c>
      <c r="V43" s="165">
        <f>+WPF_bazowy!V43</f>
        <v>0</v>
      </c>
      <c r="W43" s="165">
        <f>+WPF_bazowy!W43</f>
        <v>0</v>
      </c>
      <c r="X43" s="165">
        <f>+WPF_bazowy!X43</f>
        <v>0</v>
      </c>
      <c r="Y43" s="165">
        <f>+WPF_bazowy!Y43</f>
        <v>0</v>
      </c>
      <c r="Z43" s="165">
        <f>+WPF_bazowy!Z43</f>
        <v>0</v>
      </c>
      <c r="AA43" s="165">
        <f>+WPF_bazowy!AA43</f>
        <v>0</v>
      </c>
      <c r="AB43" s="165">
        <f>+WPF_bazowy!AB43</f>
        <v>0</v>
      </c>
      <c r="AC43" s="165">
        <f>+WPF_bazowy!AC43</f>
        <v>0</v>
      </c>
      <c r="AD43" s="165">
        <f>+WPF_bazowy!AD43</f>
        <v>0</v>
      </c>
      <c r="AE43" s="165">
        <f>+WPF_bazowy!AE43</f>
        <v>0</v>
      </c>
      <c r="AF43" s="165">
        <f>+WPF_bazowy!AF43</f>
        <v>0</v>
      </c>
      <c r="AG43" s="165">
        <f>+WPF_bazowy!AG43</f>
        <v>0</v>
      </c>
      <c r="AH43" s="165">
        <f>+WPF_bazowy!AH43</f>
        <v>0</v>
      </c>
      <c r="AI43" s="165">
        <f>+WPF_bazowy!AI43</f>
        <v>0</v>
      </c>
      <c r="AJ43" s="165">
        <f>+WPF_bazowy!AJ43</f>
        <v>0</v>
      </c>
      <c r="AK43" s="165">
        <f>+WPF_bazowy!AK43</f>
        <v>0</v>
      </c>
      <c r="AL43" s="165">
        <f>+WPF_bazowy!AL43</f>
        <v>0</v>
      </c>
      <c r="AM43" s="165">
        <f>+WPF_bazowy!AM43</f>
        <v>0</v>
      </c>
      <c r="AN43" s="165">
        <f>+WPF_bazowy!AN43</f>
        <v>0</v>
      </c>
      <c r="AO43" s="165">
        <f>+WPF_bazowy!AO43</f>
        <v>0</v>
      </c>
      <c r="AP43" s="165">
        <f>+WPF_bazowy!AP43</f>
        <v>0</v>
      </c>
      <c r="AQ43" s="165">
        <f>+WPF_bazowy!AQ43</f>
        <v>0</v>
      </c>
      <c r="AR43" s="165">
        <f>+WPF_bazowy!AR43</f>
        <v>0</v>
      </c>
      <c r="AS43" s="165">
        <f>+WPF_bazowy!AS43</f>
        <v>0</v>
      </c>
      <c r="AT43" s="165">
        <f>+WPF_bazowy!AT43</f>
        <v>0</v>
      </c>
      <c r="AU43" s="165">
        <f>+WPF_bazowy!AU43</f>
        <v>0</v>
      </c>
      <c r="AV43" s="165">
        <f>+WPF_bazowy!AV43</f>
        <v>0</v>
      </c>
      <c r="AW43" s="165">
        <f>+WPF_bazowy!AW43</f>
        <v>0</v>
      </c>
      <c r="AX43" s="165">
        <f>+WPF_bazowy!AX43</f>
        <v>0</v>
      </c>
      <c r="AY43" s="165">
        <f>+WPF_bazowy!AY43</f>
        <v>0</v>
      </c>
      <c r="AZ43" s="165">
        <f>+WPF_bazowy!AZ43</f>
        <v>0</v>
      </c>
      <c r="BA43" s="178">
        <f>+WPF_bazowy!BA43</f>
        <v>0</v>
      </c>
    </row>
    <row r="44" spans="1:54" outlineLevel="1">
      <c r="A44" s="127" t="s">
        <v>27</v>
      </c>
      <c r="C44" s="162" t="s">
        <v>300</v>
      </c>
      <c r="D44" s="169"/>
      <c r="E44" s="234" t="s">
        <v>92</v>
      </c>
      <c r="F44" s="164">
        <f>+WPF_bazowy!F44+Symulacja!F23</f>
        <v>0</v>
      </c>
      <c r="G44" s="164">
        <f>+WPF_bazowy!G44+Symulacja!G23</f>
        <v>0</v>
      </c>
      <c r="H44" s="164">
        <f>+WPF_bazowy!H44+Symulacja!H23</f>
        <v>0</v>
      </c>
      <c r="I44" s="164">
        <f>+WPF_bazowy!I44+Symulacja!I23</f>
        <v>0</v>
      </c>
      <c r="J44" s="164">
        <f>+WPF_bazowy!J44+Symulacja!J23</f>
        <v>0</v>
      </c>
      <c r="K44" s="165">
        <f>+WPF_bazowy!K44+Symulacja!K23</f>
        <v>0</v>
      </c>
      <c r="L44" s="165">
        <f>+WPF_bazowy!L44+Symulacja!L23</f>
        <v>0</v>
      </c>
      <c r="M44" s="250">
        <f>+WPF_bazowy!M44+Symulacja!M23</f>
        <v>0</v>
      </c>
      <c r="N44" s="251">
        <f>+WPF_bazowy!N44+Symulacja!N23</f>
        <v>0</v>
      </c>
      <c r="O44" s="252">
        <f>+WPF_bazowy!O44+Symulacja!O23</f>
        <v>0</v>
      </c>
      <c r="P44" s="252">
        <f>+WPF_bazowy!P44+Symulacja!P23</f>
        <v>0</v>
      </c>
      <c r="Q44" s="252">
        <f>+WPF_bazowy!Q44+Symulacja!Q23</f>
        <v>0</v>
      </c>
      <c r="R44" s="252">
        <f>+WPF_bazowy!R44+Symulacja!R23</f>
        <v>0</v>
      </c>
      <c r="S44" s="252">
        <f>+WPF_bazowy!S44+Symulacja!S23</f>
        <v>0</v>
      </c>
      <c r="T44" s="252">
        <f>+WPF_bazowy!T44+Symulacja!T23</f>
        <v>0</v>
      </c>
      <c r="U44" s="252">
        <f>+WPF_bazowy!U44+Symulacja!U23</f>
        <v>0</v>
      </c>
      <c r="V44" s="252">
        <f>+WPF_bazowy!V44+Symulacja!V23</f>
        <v>0</v>
      </c>
      <c r="W44" s="252">
        <f>+WPF_bazowy!W44+Symulacja!W23</f>
        <v>0</v>
      </c>
      <c r="X44" s="252">
        <f>+WPF_bazowy!X44+Symulacja!X23</f>
        <v>0</v>
      </c>
      <c r="Y44" s="252">
        <f>+WPF_bazowy!Y44+Symulacja!Y23</f>
        <v>0</v>
      </c>
      <c r="Z44" s="252">
        <f>+WPF_bazowy!Z44+Symulacja!Z23</f>
        <v>0</v>
      </c>
      <c r="AA44" s="252">
        <f>+WPF_bazowy!AA44+Symulacja!AA23</f>
        <v>0</v>
      </c>
      <c r="AB44" s="252">
        <f>+WPF_bazowy!AB44+Symulacja!AB23</f>
        <v>0</v>
      </c>
      <c r="AC44" s="252">
        <f>+WPF_bazowy!AC44+Symulacja!AC23</f>
        <v>0</v>
      </c>
      <c r="AD44" s="252">
        <f>+WPF_bazowy!AD44+Symulacja!AD23</f>
        <v>0</v>
      </c>
      <c r="AE44" s="252">
        <f>+WPF_bazowy!AE44+Symulacja!AE23</f>
        <v>0</v>
      </c>
      <c r="AF44" s="252">
        <f>+WPF_bazowy!AF44+Symulacja!AF23</f>
        <v>0</v>
      </c>
      <c r="AG44" s="252">
        <f>+WPF_bazowy!AG44+Symulacja!AG23</f>
        <v>0</v>
      </c>
      <c r="AH44" s="252">
        <f>+WPF_bazowy!AH44+Symulacja!AH23</f>
        <v>0</v>
      </c>
      <c r="AI44" s="252">
        <f>+WPF_bazowy!AI44+Symulacja!AI23</f>
        <v>0</v>
      </c>
      <c r="AJ44" s="252">
        <f>+WPF_bazowy!AJ44+Symulacja!AJ23</f>
        <v>0</v>
      </c>
      <c r="AK44" s="252">
        <f>+WPF_bazowy!AK44+Symulacja!AK23</f>
        <v>0</v>
      </c>
      <c r="AL44" s="252">
        <f>+WPF_bazowy!AL44+Symulacja!AL23</f>
        <v>0</v>
      </c>
      <c r="AM44" s="252">
        <f>+WPF_bazowy!AM44+Symulacja!AM23</f>
        <v>0</v>
      </c>
      <c r="AN44" s="252">
        <f>+WPF_bazowy!AN44+Symulacja!AN23</f>
        <v>0</v>
      </c>
      <c r="AO44" s="252">
        <f>+WPF_bazowy!AO44+Symulacja!AO23</f>
        <v>0</v>
      </c>
      <c r="AP44" s="252">
        <f>+WPF_bazowy!AP44+Symulacja!AP23</f>
        <v>0</v>
      </c>
      <c r="AQ44" s="252">
        <f>+WPF_bazowy!AQ44+Symulacja!AQ23</f>
        <v>0</v>
      </c>
      <c r="AR44" s="252">
        <f>+WPF_bazowy!AR44+Symulacja!AR23</f>
        <v>0</v>
      </c>
      <c r="AS44" s="252">
        <f>+WPF_bazowy!AS44+Symulacja!AS23</f>
        <v>0</v>
      </c>
      <c r="AT44" s="252">
        <f>+WPF_bazowy!AT44+Symulacja!AT23</f>
        <v>0</v>
      </c>
      <c r="AU44" s="252">
        <f>+WPF_bazowy!AU44+Symulacja!AU23</f>
        <v>0</v>
      </c>
      <c r="AV44" s="252">
        <f>+WPF_bazowy!AV44+Symulacja!AV23</f>
        <v>0</v>
      </c>
      <c r="AW44" s="252">
        <f>+WPF_bazowy!AW44+Symulacja!AW23</f>
        <v>0</v>
      </c>
      <c r="AX44" s="252">
        <f>+WPF_bazowy!AX44+Symulacja!AX23</f>
        <v>0</v>
      </c>
      <c r="AY44" s="252">
        <f>+WPF_bazowy!AY44+Symulacja!AY23</f>
        <v>0</v>
      </c>
      <c r="AZ44" s="252">
        <f>+WPF_bazowy!AZ44+Symulacja!AZ23</f>
        <v>0</v>
      </c>
      <c r="BA44" s="253">
        <f>+WPF_bazowy!BA44+Symulacja!BA23</f>
        <v>0</v>
      </c>
    </row>
    <row r="45" spans="1:54" outlineLevel="2">
      <c r="A45" s="127" t="s">
        <v>27</v>
      </c>
      <c r="C45" s="162" t="s">
        <v>273</v>
      </c>
      <c r="D45" s="169"/>
      <c r="E45" s="213" t="s">
        <v>90</v>
      </c>
      <c r="F45" s="164">
        <f>+WPF_bazowy!F45</f>
        <v>0</v>
      </c>
      <c r="G45" s="164">
        <f>+WPF_bazowy!G45</f>
        <v>0</v>
      </c>
      <c r="H45" s="164">
        <f>+WPF_bazowy!H45</f>
        <v>0</v>
      </c>
      <c r="I45" s="164">
        <f>+WPF_bazowy!I45</f>
        <v>0</v>
      </c>
      <c r="J45" s="164">
        <f>+WPF_bazowy!J45</f>
        <v>0</v>
      </c>
      <c r="K45" s="165">
        <f>+WPF_bazowy!K45</f>
        <v>0</v>
      </c>
      <c r="L45" s="165">
        <f>+WPF_bazowy!L45</f>
        <v>0</v>
      </c>
      <c r="M45" s="250">
        <f>+WPF_bazowy!M45</f>
        <v>0</v>
      </c>
      <c r="N45" s="164">
        <f>+WPF_bazowy!N45</f>
        <v>0</v>
      </c>
      <c r="O45" s="165">
        <f>+WPF_bazowy!O45</f>
        <v>0</v>
      </c>
      <c r="P45" s="165">
        <f>+WPF_bazowy!P45</f>
        <v>0</v>
      </c>
      <c r="Q45" s="165">
        <f>+WPF_bazowy!Q45</f>
        <v>0</v>
      </c>
      <c r="R45" s="165">
        <f>+WPF_bazowy!R45</f>
        <v>0</v>
      </c>
      <c r="S45" s="165">
        <f>+WPF_bazowy!S45</f>
        <v>0</v>
      </c>
      <c r="T45" s="165">
        <f>+WPF_bazowy!T45</f>
        <v>0</v>
      </c>
      <c r="U45" s="165">
        <f>+WPF_bazowy!U45</f>
        <v>0</v>
      </c>
      <c r="V45" s="165">
        <f>+WPF_bazowy!V45</f>
        <v>0</v>
      </c>
      <c r="W45" s="165">
        <f>+WPF_bazowy!W45</f>
        <v>0</v>
      </c>
      <c r="X45" s="165">
        <f>+WPF_bazowy!X45</f>
        <v>0</v>
      </c>
      <c r="Y45" s="165">
        <f>+WPF_bazowy!Y45</f>
        <v>0</v>
      </c>
      <c r="Z45" s="165">
        <f>+WPF_bazowy!Z45</f>
        <v>0</v>
      </c>
      <c r="AA45" s="165">
        <f>+WPF_bazowy!AA45</f>
        <v>0</v>
      </c>
      <c r="AB45" s="165">
        <f>+WPF_bazowy!AB45</f>
        <v>0</v>
      </c>
      <c r="AC45" s="165">
        <f>+WPF_bazowy!AC45</f>
        <v>0</v>
      </c>
      <c r="AD45" s="165">
        <f>+WPF_bazowy!AD45</f>
        <v>0</v>
      </c>
      <c r="AE45" s="165">
        <f>+WPF_bazowy!AE45</f>
        <v>0</v>
      </c>
      <c r="AF45" s="165">
        <f>+WPF_bazowy!AF45</f>
        <v>0</v>
      </c>
      <c r="AG45" s="165">
        <f>+WPF_bazowy!AG45</f>
        <v>0</v>
      </c>
      <c r="AH45" s="165">
        <f>+WPF_bazowy!AH45</f>
        <v>0</v>
      </c>
      <c r="AI45" s="165">
        <f>+WPF_bazowy!AI45</f>
        <v>0</v>
      </c>
      <c r="AJ45" s="165">
        <f>+WPF_bazowy!AJ45</f>
        <v>0</v>
      </c>
      <c r="AK45" s="165">
        <f>+WPF_bazowy!AK45</f>
        <v>0</v>
      </c>
      <c r="AL45" s="165">
        <f>+WPF_bazowy!AL45</f>
        <v>0</v>
      </c>
      <c r="AM45" s="165">
        <f>+WPF_bazowy!AM45</f>
        <v>0</v>
      </c>
      <c r="AN45" s="165">
        <f>+WPF_bazowy!AN45</f>
        <v>0</v>
      </c>
      <c r="AO45" s="165">
        <f>+WPF_bazowy!AO45</f>
        <v>0</v>
      </c>
      <c r="AP45" s="165">
        <f>+WPF_bazowy!AP45</f>
        <v>0</v>
      </c>
      <c r="AQ45" s="165">
        <f>+WPF_bazowy!AQ45</f>
        <v>0</v>
      </c>
      <c r="AR45" s="165">
        <f>+WPF_bazowy!AR45</f>
        <v>0</v>
      </c>
      <c r="AS45" s="165">
        <f>+WPF_bazowy!AS45</f>
        <v>0</v>
      </c>
      <c r="AT45" s="165">
        <f>+WPF_bazowy!AT45</f>
        <v>0</v>
      </c>
      <c r="AU45" s="165">
        <f>+WPF_bazowy!AU45</f>
        <v>0</v>
      </c>
      <c r="AV45" s="165">
        <f>+WPF_bazowy!AV45</f>
        <v>0</v>
      </c>
      <c r="AW45" s="165">
        <f>+WPF_bazowy!AW45</f>
        <v>0</v>
      </c>
      <c r="AX45" s="165">
        <f>+WPF_bazowy!AX45</f>
        <v>0</v>
      </c>
      <c r="AY45" s="165">
        <f>+WPF_bazowy!AY45</f>
        <v>0</v>
      </c>
      <c r="AZ45" s="165">
        <f>+WPF_bazowy!AZ45</f>
        <v>0</v>
      </c>
      <c r="BA45" s="178">
        <f>+WPF_bazowy!BA45</f>
        <v>0</v>
      </c>
    </row>
    <row r="46" spans="1:54">
      <c r="A46" s="127" t="s">
        <v>27</v>
      </c>
      <c r="B46" s="238" t="s">
        <v>27</v>
      </c>
      <c r="C46" s="170">
        <v>5</v>
      </c>
      <c r="D46" s="169"/>
      <c r="E46" s="222" t="s">
        <v>47</v>
      </c>
      <c r="F46" s="157">
        <f>+WPF_bazowy!F46+Symulacja!F24</f>
        <v>0</v>
      </c>
      <c r="G46" s="157">
        <f>+WPF_bazowy!G46+Symulacja!G24</f>
        <v>0</v>
      </c>
      <c r="H46" s="157">
        <f>+WPF_bazowy!H46+Symulacja!H24</f>
        <v>0</v>
      </c>
      <c r="I46" s="157">
        <f>+WPF_bazowy!I46+Symulacja!I24</f>
        <v>0</v>
      </c>
      <c r="J46" s="157">
        <f>+WPF_bazowy!J46+Symulacja!J24</f>
        <v>0</v>
      </c>
      <c r="K46" s="158">
        <f>+WPF_bazowy!K46+Symulacja!K24</f>
        <v>0</v>
      </c>
      <c r="L46" s="158">
        <f>+WPF_bazowy!L46+Symulacja!L24</f>
        <v>2090000</v>
      </c>
      <c r="M46" s="172">
        <f>+ROUND(M47+M56,2)</f>
        <v>2312000</v>
      </c>
      <c r="N46" s="173">
        <f>+ROUND(N47+N56,2)</f>
        <v>0</v>
      </c>
      <c r="O46" s="174">
        <f>+ROUND(O47+O56,2)</f>
        <v>2000000</v>
      </c>
      <c r="P46" s="174">
        <f>+ROUND(P47+P56,2)</f>
        <v>1915000</v>
      </c>
      <c r="Q46" s="174">
        <f>+ROUND(Q47+Q56,2)</f>
        <v>2000000</v>
      </c>
      <c r="R46" s="174">
        <f t="shared" ref="R46:X46" si="12">+IF(R9&lt;=Ostatni_rok_analizy,ROUND(R47+R56,2),0)</f>
        <v>2000000</v>
      </c>
      <c r="S46" s="174">
        <f t="shared" si="12"/>
        <v>2000000</v>
      </c>
      <c r="T46" s="174">
        <f t="shared" si="12"/>
        <v>1500000</v>
      </c>
      <c r="U46" s="174">
        <f t="shared" si="12"/>
        <v>1500000</v>
      </c>
      <c r="V46" s="174">
        <f t="shared" si="12"/>
        <v>1500000</v>
      </c>
      <c r="W46" s="174">
        <f t="shared" si="12"/>
        <v>1500000</v>
      </c>
      <c r="X46" s="174">
        <f t="shared" si="12"/>
        <v>1750000</v>
      </c>
      <c r="Y46" s="174">
        <f t="shared" ref="Y46:BA46" si="13">+IF(Y9&lt;=Ostatni_rok_analizy,ROUND(Y47+Y56,2),0)</f>
        <v>1750000</v>
      </c>
      <c r="Z46" s="174">
        <f t="shared" si="13"/>
        <v>0</v>
      </c>
      <c r="AA46" s="174">
        <f t="shared" si="13"/>
        <v>0</v>
      </c>
      <c r="AB46" s="174">
        <f t="shared" si="13"/>
        <v>0</v>
      </c>
      <c r="AC46" s="174">
        <f t="shared" si="13"/>
        <v>0</v>
      </c>
      <c r="AD46" s="174">
        <f t="shared" si="13"/>
        <v>0</v>
      </c>
      <c r="AE46" s="174">
        <f t="shared" si="13"/>
        <v>0</v>
      </c>
      <c r="AF46" s="174">
        <f t="shared" si="13"/>
        <v>0</v>
      </c>
      <c r="AG46" s="174">
        <f t="shared" si="13"/>
        <v>0</v>
      </c>
      <c r="AH46" s="174">
        <f t="shared" si="13"/>
        <v>0</v>
      </c>
      <c r="AI46" s="174">
        <f t="shared" si="13"/>
        <v>0</v>
      </c>
      <c r="AJ46" s="174">
        <f t="shared" si="13"/>
        <v>0</v>
      </c>
      <c r="AK46" s="174">
        <f t="shared" si="13"/>
        <v>0</v>
      </c>
      <c r="AL46" s="174">
        <f t="shared" si="13"/>
        <v>0</v>
      </c>
      <c r="AM46" s="174">
        <f t="shared" si="13"/>
        <v>0</v>
      </c>
      <c r="AN46" s="174">
        <f t="shared" si="13"/>
        <v>0</v>
      </c>
      <c r="AO46" s="174">
        <f t="shared" si="13"/>
        <v>0</v>
      </c>
      <c r="AP46" s="174">
        <f t="shared" si="13"/>
        <v>0</v>
      </c>
      <c r="AQ46" s="174">
        <f t="shared" si="13"/>
        <v>0</v>
      </c>
      <c r="AR46" s="174">
        <f t="shared" si="13"/>
        <v>0</v>
      </c>
      <c r="AS46" s="174">
        <f t="shared" si="13"/>
        <v>0</v>
      </c>
      <c r="AT46" s="174">
        <f t="shared" si="13"/>
        <v>0</v>
      </c>
      <c r="AU46" s="174">
        <f t="shared" si="13"/>
        <v>0</v>
      </c>
      <c r="AV46" s="174">
        <f t="shared" si="13"/>
        <v>0</v>
      </c>
      <c r="AW46" s="174">
        <f t="shared" si="13"/>
        <v>0</v>
      </c>
      <c r="AX46" s="174">
        <f t="shared" si="13"/>
        <v>0</v>
      </c>
      <c r="AY46" s="174">
        <f t="shared" si="13"/>
        <v>0</v>
      </c>
      <c r="AZ46" s="174">
        <f t="shared" si="13"/>
        <v>0</v>
      </c>
      <c r="BA46" s="172">
        <f t="shared" si="13"/>
        <v>0</v>
      </c>
    </row>
    <row r="47" spans="1:54" outlineLevel="1">
      <c r="A47" s="127" t="s">
        <v>27</v>
      </c>
      <c r="B47" s="238" t="s">
        <v>27</v>
      </c>
      <c r="C47" s="162" t="s">
        <v>59</v>
      </c>
      <c r="D47" s="169" t="s">
        <v>366</v>
      </c>
      <c r="E47" s="234" t="s">
        <v>93</v>
      </c>
      <c r="F47" s="164">
        <f>+WPF_bazowy!F47+Symulacja!F25</f>
        <v>0</v>
      </c>
      <c r="G47" s="164">
        <f>+WPF_bazowy!G47+Symulacja!G25</f>
        <v>0</v>
      </c>
      <c r="H47" s="164">
        <f>+WPF_bazowy!H47+Symulacja!H25</f>
        <v>0</v>
      </c>
      <c r="I47" s="164">
        <f>+WPF_bazowy!I47+Symulacja!I25</f>
        <v>0</v>
      </c>
      <c r="J47" s="164">
        <f>+WPF_bazowy!J47+Symulacja!J25</f>
        <v>0</v>
      </c>
      <c r="K47" s="165">
        <f>+WPF_bazowy!K47+Symulacja!K25</f>
        <v>0</v>
      </c>
      <c r="L47" s="165">
        <f>+WPF_bazowy!L47+Symulacja!L25</f>
        <v>2000000</v>
      </c>
      <c r="M47" s="250">
        <f>+WPF_bazowy!M47+Symulacja!M25</f>
        <v>2000000</v>
      </c>
      <c r="N47" s="251">
        <f>+WPF_bazowy!N47+Symulacja!N25</f>
        <v>0</v>
      </c>
      <c r="O47" s="252">
        <f>+WPF_bazowy!O47+Symulacja!O25</f>
        <v>2000000</v>
      </c>
      <c r="P47" s="252">
        <f>+WPF_bazowy!P47+Symulacja!P25</f>
        <v>1915000</v>
      </c>
      <c r="Q47" s="252">
        <f>+WPF_bazowy!Q47+Symulacja!Q25</f>
        <v>2000000</v>
      </c>
      <c r="R47" s="252">
        <f>+WPF_bazowy!R47+Symulacja!R25</f>
        <v>2000000</v>
      </c>
      <c r="S47" s="252">
        <f>+WPF_bazowy!S47+Symulacja!S25</f>
        <v>2000000</v>
      </c>
      <c r="T47" s="252">
        <f>+WPF_bazowy!T47+Symulacja!T25</f>
        <v>1500000</v>
      </c>
      <c r="U47" s="252">
        <f>+WPF_bazowy!U47+Symulacja!U25</f>
        <v>1500000</v>
      </c>
      <c r="V47" s="252">
        <f>+WPF_bazowy!V47+Symulacja!V25</f>
        <v>1500000</v>
      </c>
      <c r="W47" s="252">
        <f>+WPF_bazowy!W47+Symulacja!W25</f>
        <v>1500000</v>
      </c>
      <c r="X47" s="252">
        <f>+WPF_bazowy!X47+Symulacja!X25</f>
        <v>1750000</v>
      </c>
      <c r="Y47" s="252">
        <f>+WPF_bazowy!Y47+Symulacja!Y25</f>
        <v>1750000</v>
      </c>
      <c r="Z47" s="252">
        <f>+WPF_bazowy!Z47+Symulacja!Z25</f>
        <v>0</v>
      </c>
      <c r="AA47" s="252">
        <f>+WPF_bazowy!AA47+Symulacja!AA25</f>
        <v>0</v>
      </c>
      <c r="AB47" s="252">
        <f>+WPF_bazowy!AB47+Symulacja!AB25</f>
        <v>0</v>
      </c>
      <c r="AC47" s="252">
        <f>+WPF_bazowy!AC47+Symulacja!AC25</f>
        <v>0</v>
      </c>
      <c r="AD47" s="252">
        <f>+WPF_bazowy!AD47+Symulacja!AD25</f>
        <v>0</v>
      </c>
      <c r="AE47" s="252">
        <f>+WPF_bazowy!AE47+Symulacja!AE25</f>
        <v>0</v>
      </c>
      <c r="AF47" s="252">
        <f>+WPF_bazowy!AF47+Symulacja!AF25</f>
        <v>0</v>
      </c>
      <c r="AG47" s="252">
        <f>+WPF_bazowy!AG47+Symulacja!AG25</f>
        <v>0</v>
      </c>
      <c r="AH47" s="252">
        <f>+WPF_bazowy!AH47+Symulacja!AH25</f>
        <v>0</v>
      </c>
      <c r="AI47" s="252">
        <f>+WPF_bazowy!AI47+Symulacja!AI25</f>
        <v>0</v>
      </c>
      <c r="AJ47" s="252">
        <f>+WPF_bazowy!AJ47+Symulacja!AJ25</f>
        <v>0</v>
      </c>
      <c r="AK47" s="252">
        <f>+WPF_bazowy!AK47+Symulacja!AK25</f>
        <v>0</v>
      </c>
      <c r="AL47" s="252">
        <f>+WPF_bazowy!AL47+Symulacja!AL25</f>
        <v>0</v>
      </c>
      <c r="AM47" s="252">
        <f>+WPF_bazowy!AM47+Symulacja!AM25</f>
        <v>0</v>
      </c>
      <c r="AN47" s="252">
        <f>+WPF_bazowy!AN47+Symulacja!AN25</f>
        <v>0</v>
      </c>
      <c r="AO47" s="252">
        <f>+WPF_bazowy!AO47+Symulacja!AO25</f>
        <v>0</v>
      </c>
      <c r="AP47" s="252">
        <f>+WPF_bazowy!AP47+Symulacja!AP25</f>
        <v>0</v>
      </c>
      <c r="AQ47" s="252">
        <f>+WPF_bazowy!AQ47+Symulacja!AQ25</f>
        <v>0</v>
      </c>
      <c r="AR47" s="252">
        <f>+WPF_bazowy!AR47+Symulacja!AR25</f>
        <v>0</v>
      </c>
      <c r="AS47" s="252">
        <f>+WPF_bazowy!AS47+Symulacja!AS25</f>
        <v>0</v>
      </c>
      <c r="AT47" s="252">
        <f>+WPF_bazowy!AT47+Symulacja!AT25</f>
        <v>0</v>
      </c>
      <c r="AU47" s="252">
        <f>+WPF_bazowy!AU47+Symulacja!AU25</f>
        <v>0</v>
      </c>
      <c r="AV47" s="252">
        <f>+WPF_bazowy!AV47+Symulacja!AV25</f>
        <v>0</v>
      </c>
      <c r="AW47" s="252">
        <f>+WPF_bazowy!AW47+Symulacja!AW25</f>
        <v>0</v>
      </c>
      <c r="AX47" s="252">
        <f>+WPF_bazowy!AX47+Symulacja!AX25</f>
        <v>0</v>
      </c>
      <c r="AY47" s="252">
        <f>+WPF_bazowy!AY47+Symulacja!AY25</f>
        <v>0</v>
      </c>
      <c r="AZ47" s="252">
        <f>+WPF_bazowy!AZ47+Symulacja!AZ25</f>
        <v>0</v>
      </c>
      <c r="BA47" s="253">
        <f>+WPF_bazowy!BA47+Symulacja!BA25</f>
        <v>0</v>
      </c>
    </row>
    <row r="48" spans="1:54" outlineLevel="2">
      <c r="A48" s="127" t="s">
        <v>27</v>
      </c>
      <c r="B48" s="238" t="s">
        <v>27</v>
      </c>
      <c r="C48" s="162" t="s">
        <v>48</v>
      </c>
      <c r="D48" s="169"/>
      <c r="E48" s="217" t="s">
        <v>324</v>
      </c>
      <c r="F48" s="164">
        <f>+WPF_bazowy!F48+Symulacja!F26+Symulacja!F27+Symulacja!F28+Symulacja!F29</f>
        <v>0</v>
      </c>
      <c r="G48" s="164">
        <f>+WPF_bazowy!G48+Symulacja!G26+Symulacja!G27+Symulacja!G28+Symulacja!G29</f>
        <v>0</v>
      </c>
      <c r="H48" s="164">
        <f>+WPF_bazowy!H48+Symulacja!H26+Symulacja!H27+Symulacja!H28+Symulacja!H29</f>
        <v>0</v>
      </c>
      <c r="I48" s="164">
        <f>+WPF_bazowy!I48+Symulacja!I26+Symulacja!I27+Symulacja!I28+Symulacja!I29</f>
        <v>0</v>
      </c>
      <c r="J48" s="164">
        <f>+WPF_bazowy!J48+Symulacja!J26+Symulacja!J27+Symulacja!J28+Symulacja!J29</f>
        <v>0</v>
      </c>
      <c r="K48" s="165">
        <f>+WPF_bazowy!K48+Symulacja!K26+Symulacja!K27+Symulacja!K28+Symulacja!K29</f>
        <v>0</v>
      </c>
      <c r="L48" s="165">
        <f>+WPF_bazowy!L48+Symulacja!L26+Symulacja!L27+Symulacja!L28+Symulacja!L29</f>
        <v>0</v>
      </c>
      <c r="M48" s="166">
        <f>+ROUND(SUM(M49:M51,M55),2)</f>
        <v>0</v>
      </c>
      <c r="N48" s="461">
        <f>+ROUND(SUM(N49:N51,N55),2)</f>
        <v>0</v>
      </c>
      <c r="O48" s="462">
        <f t="shared" ref="O48:BA48" si="14">+ROUND(SUM(O49:O51,O55),2)</f>
        <v>0</v>
      </c>
      <c r="P48" s="462">
        <f t="shared" si="14"/>
        <v>0</v>
      </c>
      <c r="Q48" s="462">
        <f t="shared" si="14"/>
        <v>0</v>
      </c>
      <c r="R48" s="462">
        <f t="shared" si="14"/>
        <v>0</v>
      </c>
      <c r="S48" s="462">
        <f t="shared" si="14"/>
        <v>0</v>
      </c>
      <c r="T48" s="462">
        <f t="shared" si="14"/>
        <v>0</v>
      </c>
      <c r="U48" s="462">
        <f t="shared" si="14"/>
        <v>0</v>
      </c>
      <c r="V48" s="462">
        <f t="shared" si="14"/>
        <v>0</v>
      </c>
      <c r="W48" s="462">
        <f t="shared" si="14"/>
        <v>0</v>
      </c>
      <c r="X48" s="462">
        <f t="shared" si="14"/>
        <v>0</v>
      </c>
      <c r="Y48" s="462">
        <f t="shared" si="14"/>
        <v>0</v>
      </c>
      <c r="Z48" s="462">
        <f t="shared" si="14"/>
        <v>0</v>
      </c>
      <c r="AA48" s="462">
        <f t="shared" si="14"/>
        <v>0</v>
      </c>
      <c r="AB48" s="462">
        <f t="shared" si="14"/>
        <v>0</v>
      </c>
      <c r="AC48" s="462">
        <f t="shared" si="14"/>
        <v>0</v>
      </c>
      <c r="AD48" s="462">
        <f t="shared" si="14"/>
        <v>0</v>
      </c>
      <c r="AE48" s="462">
        <f t="shared" si="14"/>
        <v>0</v>
      </c>
      <c r="AF48" s="462">
        <f t="shared" si="14"/>
        <v>0</v>
      </c>
      <c r="AG48" s="462">
        <f t="shared" si="14"/>
        <v>0</v>
      </c>
      <c r="AH48" s="462">
        <f t="shared" si="14"/>
        <v>0</v>
      </c>
      <c r="AI48" s="462">
        <f t="shared" si="14"/>
        <v>0</v>
      </c>
      <c r="AJ48" s="462">
        <f t="shared" si="14"/>
        <v>0</v>
      </c>
      <c r="AK48" s="462">
        <f t="shared" si="14"/>
        <v>0</v>
      </c>
      <c r="AL48" s="462">
        <f t="shared" si="14"/>
        <v>0</v>
      </c>
      <c r="AM48" s="462">
        <f t="shared" si="14"/>
        <v>0</v>
      </c>
      <c r="AN48" s="462">
        <f t="shared" si="14"/>
        <v>0</v>
      </c>
      <c r="AO48" s="462">
        <f t="shared" si="14"/>
        <v>0</v>
      </c>
      <c r="AP48" s="462">
        <f t="shared" si="14"/>
        <v>0</v>
      </c>
      <c r="AQ48" s="462">
        <f t="shared" si="14"/>
        <v>0</v>
      </c>
      <c r="AR48" s="462">
        <f t="shared" si="14"/>
        <v>0</v>
      </c>
      <c r="AS48" s="462">
        <f t="shared" si="14"/>
        <v>0</v>
      </c>
      <c r="AT48" s="462">
        <f t="shared" si="14"/>
        <v>0</v>
      </c>
      <c r="AU48" s="462">
        <f t="shared" si="14"/>
        <v>0</v>
      </c>
      <c r="AV48" s="462">
        <f t="shared" si="14"/>
        <v>0</v>
      </c>
      <c r="AW48" s="462">
        <f t="shared" si="14"/>
        <v>0</v>
      </c>
      <c r="AX48" s="462">
        <f t="shared" si="14"/>
        <v>0</v>
      </c>
      <c r="AY48" s="462">
        <f t="shared" si="14"/>
        <v>0</v>
      </c>
      <c r="AZ48" s="462">
        <f t="shared" si="14"/>
        <v>0</v>
      </c>
      <c r="BA48" s="463">
        <f t="shared" si="14"/>
        <v>0</v>
      </c>
    </row>
    <row r="49" spans="1:54" ht="15" outlineLevel="3">
      <c r="A49" s="127" t="s">
        <v>27</v>
      </c>
      <c r="C49" s="162" t="s">
        <v>49</v>
      </c>
      <c r="D49" s="169"/>
      <c r="E49" s="232" t="s">
        <v>325</v>
      </c>
      <c r="F49" s="164">
        <f>+WPF_bazowy!F49+Symulacja!F26</f>
        <v>0</v>
      </c>
      <c r="G49" s="164">
        <f>+WPF_bazowy!G49+Symulacja!G26</f>
        <v>0</v>
      </c>
      <c r="H49" s="164">
        <f>+WPF_bazowy!H49+Symulacja!H26</f>
        <v>0</v>
      </c>
      <c r="I49" s="164">
        <f>+WPF_bazowy!I49+Symulacja!I26</f>
        <v>0</v>
      </c>
      <c r="J49" s="164">
        <f>+WPF_bazowy!J49+Symulacja!J26</f>
        <v>0</v>
      </c>
      <c r="K49" s="165">
        <f>+WPF_bazowy!K49+Symulacja!K26</f>
        <v>0</v>
      </c>
      <c r="L49" s="165">
        <f>+WPF_bazowy!L49+Symulacja!L26</f>
        <v>0</v>
      </c>
      <c r="M49" s="250">
        <f>+WPF_bazowy!M49+Symulacja!M26</f>
        <v>0</v>
      </c>
      <c r="N49" s="251">
        <f>+WPF_bazowy!N49+Symulacja!N26</f>
        <v>0</v>
      </c>
      <c r="O49" s="252">
        <f>+WPF_bazowy!O49+Symulacja!O26</f>
        <v>0</v>
      </c>
      <c r="P49" s="252">
        <f>+WPF_bazowy!P49+Symulacja!P26</f>
        <v>0</v>
      </c>
      <c r="Q49" s="252">
        <f>+WPF_bazowy!Q49+Symulacja!Q26</f>
        <v>0</v>
      </c>
      <c r="R49" s="252">
        <f>+WPF_bazowy!R49+Symulacja!R26</f>
        <v>0</v>
      </c>
      <c r="S49" s="252">
        <f>+WPF_bazowy!S49+Symulacja!S26</f>
        <v>0</v>
      </c>
      <c r="T49" s="252">
        <f>+WPF_bazowy!T49+Symulacja!T26</f>
        <v>0</v>
      </c>
      <c r="U49" s="252">
        <f>+WPF_bazowy!U49+Symulacja!U26</f>
        <v>0</v>
      </c>
      <c r="V49" s="252">
        <f>+WPF_bazowy!V49+Symulacja!V26</f>
        <v>0</v>
      </c>
      <c r="W49" s="252">
        <f>+WPF_bazowy!W49+Symulacja!W26</f>
        <v>0</v>
      </c>
      <c r="X49" s="252">
        <f>+WPF_bazowy!X49+Symulacja!X26</f>
        <v>0</v>
      </c>
      <c r="Y49" s="252">
        <f>+WPF_bazowy!Y49+Symulacja!Y26</f>
        <v>0</v>
      </c>
      <c r="Z49" s="252">
        <f>+WPF_bazowy!Z49+Symulacja!Z26</f>
        <v>0</v>
      </c>
      <c r="AA49" s="252">
        <f>+WPF_bazowy!AA49+Symulacja!AA26</f>
        <v>0</v>
      </c>
      <c r="AB49" s="252">
        <f>+WPF_bazowy!AB49+Symulacja!AB26</f>
        <v>0</v>
      </c>
      <c r="AC49" s="252">
        <f>+WPF_bazowy!AC49+Symulacja!AC26</f>
        <v>0</v>
      </c>
      <c r="AD49" s="252">
        <f>+WPF_bazowy!AD49+Symulacja!AD26</f>
        <v>0</v>
      </c>
      <c r="AE49" s="252">
        <f>+WPF_bazowy!AE49+Symulacja!AE26</f>
        <v>0</v>
      </c>
      <c r="AF49" s="252">
        <f>+WPF_bazowy!AF49+Symulacja!AF26</f>
        <v>0</v>
      </c>
      <c r="AG49" s="252">
        <f>+WPF_bazowy!AG49+Symulacja!AG26</f>
        <v>0</v>
      </c>
      <c r="AH49" s="252">
        <f>+WPF_bazowy!AH49+Symulacja!AH26</f>
        <v>0</v>
      </c>
      <c r="AI49" s="252">
        <f>+WPF_bazowy!AI49+Symulacja!AI26</f>
        <v>0</v>
      </c>
      <c r="AJ49" s="252">
        <f>+WPF_bazowy!AJ49+Symulacja!AJ26</f>
        <v>0</v>
      </c>
      <c r="AK49" s="252">
        <f>+WPF_bazowy!AK49+Symulacja!AK26</f>
        <v>0</v>
      </c>
      <c r="AL49" s="252">
        <f>+WPF_bazowy!AL49+Symulacja!AL26</f>
        <v>0</v>
      </c>
      <c r="AM49" s="252">
        <f>+WPF_bazowy!AM49+Symulacja!AM26</f>
        <v>0</v>
      </c>
      <c r="AN49" s="252">
        <f>+WPF_bazowy!AN49+Symulacja!AN26</f>
        <v>0</v>
      </c>
      <c r="AO49" s="252">
        <f>+WPF_bazowy!AO49+Symulacja!AO26</f>
        <v>0</v>
      </c>
      <c r="AP49" s="252">
        <f>+WPF_bazowy!AP49+Symulacja!AP26</f>
        <v>0</v>
      </c>
      <c r="AQ49" s="252">
        <f>+WPF_bazowy!AQ49+Symulacja!AQ26</f>
        <v>0</v>
      </c>
      <c r="AR49" s="252">
        <f>+WPF_bazowy!AR49+Symulacja!AR26</f>
        <v>0</v>
      </c>
      <c r="AS49" s="252">
        <f>+WPF_bazowy!AS49+Symulacja!AS26</f>
        <v>0</v>
      </c>
      <c r="AT49" s="252">
        <f>+WPF_bazowy!AT49+Symulacja!AT26</f>
        <v>0</v>
      </c>
      <c r="AU49" s="252">
        <f>+WPF_bazowy!AU49+Symulacja!AU26</f>
        <v>0</v>
      </c>
      <c r="AV49" s="252">
        <f>+WPF_bazowy!AV49+Symulacja!AV26</f>
        <v>0</v>
      </c>
      <c r="AW49" s="252">
        <f>+WPF_bazowy!AW49+Symulacja!AW26</f>
        <v>0</v>
      </c>
      <c r="AX49" s="252">
        <f>+WPF_bazowy!AX49+Symulacja!AX26</f>
        <v>0</v>
      </c>
      <c r="AY49" s="252">
        <f>+WPF_bazowy!AY49+Symulacja!AY26</f>
        <v>0</v>
      </c>
      <c r="AZ49" s="252">
        <f>+WPF_bazowy!AZ49+Symulacja!AZ26</f>
        <v>0</v>
      </c>
      <c r="BA49" s="253">
        <f>+WPF_bazowy!BA49+Symulacja!BA26</f>
        <v>0</v>
      </c>
      <c r="BB49" s="153"/>
    </row>
    <row r="50" spans="1:54" ht="15" outlineLevel="3">
      <c r="A50" s="127" t="s">
        <v>27</v>
      </c>
      <c r="C50" s="162" t="s">
        <v>168</v>
      </c>
      <c r="D50" s="169"/>
      <c r="E50" s="232" t="s">
        <v>326</v>
      </c>
      <c r="F50" s="164">
        <f>+WPF_bazowy!F50+Symulacja!F27</f>
        <v>0</v>
      </c>
      <c r="G50" s="164">
        <f>+WPF_bazowy!G50+Symulacja!G27</f>
        <v>0</v>
      </c>
      <c r="H50" s="164">
        <f>+WPF_bazowy!H50+Symulacja!H27</f>
        <v>0</v>
      </c>
      <c r="I50" s="164">
        <f>+WPF_bazowy!I50+Symulacja!I27</f>
        <v>0</v>
      </c>
      <c r="J50" s="164">
        <f>+WPF_bazowy!J50+Symulacja!J27</f>
        <v>0</v>
      </c>
      <c r="K50" s="165">
        <f>+WPF_bazowy!K50+Symulacja!K27</f>
        <v>0</v>
      </c>
      <c r="L50" s="165">
        <f>+WPF_bazowy!L50+Symulacja!L27</f>
        <v>0</v>
      </c>
      <c r="M50" s="250">
        <f>+WPF_bazowy!M50+Symulacja!M27</f>
        <v>0</v>
      </c>
      <c r="N50" s="251">
        <f>+WPF_bazowy!N50+Symulacja!N27</f>
        <v>0</v>
      </c>
      <c r="O50" s="252">
        <f>+WPF_bazowy!O50+Symulacja!O27</f>
        <v>0</v>
      </c>
      <c r="P50" s="252">
        <f>+WPF_bazowy!P50+Symulacja!P27</f>
        <v>0</v>
      </c>
      <c r="Q50" s="252">
        <f>+WPF_bazowy!Q50+Symulacja!Q27</f>
        <v>0</v>
      </c>
      <c r="R50" s="252">
        <f>+WPF_bazowy!R50+Symulacja!R27</f>
        <v>0</v>
      </c>
      <c r="S50" s="252">
        <f>+WPF_bazowy!S50+Symulacja!S27</f>
        <v>0</v>
      </c>
      <c r="T50" s="252">
        <f>+WPF_bazowy!T50+Symulacja!T27</f>
        <v>0</v>
      </c>
      <c r="U50" s="252">
        <f>+WPF_bazowy!U50+Symulacja!U27</f>
        <v>0</v>
      </c>
      <c r="V50" s="252">
        <f>+WPF_bazowy!V50+Symulacja!V27</f>
        <v>0</v>
      </c>
      <c r="W50" s="252">
        <f>+WPF_bazowy!W50+Symulacja!W27</f>
        <v>0</v>
      </c>
      <c r="X50" s="252">
        <f>+WPF_bazowy!X50+Symulacja!X27</f>
        <v>0</v>
      </c>
      <c r="Y50" s="252">
        <f>+WPF_bazowy!Y50+Symulacja!Y27</f>
        <v>0</v>
      </c>
      <c r="Z50" s="252">
        <f>+WPF_bazowy!Z50+Symulacja!Z27</f>
        <v>0</v>
      </c>
      <c r="AA50" s="252">
        <f>+WPF_bazowy!AA50+Symulacja!AA27</f>
        <v>0</v>
      </c>
      <c r="AB50" s="252">
        <f>+WPF_bazowy!AB50+Symulacja!AB27</f>
        <v>0</v>
      </c>
      <c r="AC50" s="252">
        <f>+WPF_bazowy!AC50+Symulacja!AC27</f>
        <v>0</v>
      </c>
      <c r="AD50" s="252">
        <f>+WPF_bazowy!AD50+Symulacja!AD27</f>
        <v>0</v>
      </c>
      <c r="AE50" s="252">
        <f>+WPF_bazowy!AE50+Symulacja!AE27</f>
        <v>0</v>
      </c>
      <c r="AF50" s="252">
        <f>+WPF_bazowy!AF50+Symulacja!AF27</f>
        <v>0</v>
      </c>
      <c r="AG50" s="252">
        <f>+WPF_bazowy!AG50+Symulacja!AG27</f>
        <v>0</v>
      </c>
      <c r="AH50" s="252">
        <f>+WPF_bazowy!AH50+Symulacja!AH27</f>
        <v>0</v>
      </c>
      <c r="AI50" s="252">
        <f>+WPF_bazowy!AI50+Symulacja!AI27</f>
        <v>0</v>
      </c>
      <c r="AJ50" s="252">
        <f>+WPF_bazowy!AJ50+Symulacja!AJ27</f>
        <v>0</v>
      </c>
      <c r="AK50" s="252">
        <f>+WPF_bazowy!AK50+Symulacja!AK27</f>
        <v>0</v>
      </c>
      <c r="AL50" s="252">
        <f>+WPF_bazowy!AL50+Symulacja!AL27</f>
        <v>0</v>
      </c>
      <c r="AM50" s="252">
        <f>+WPF_bazowy!AM50+Symulacja!AM27</f>
        <v>0</v>
      </c>
      <c r="AN50" s="252">
        <f>+WPF_bazowy!AN50+Symulacja!AN27</f>
        <v>0</v>
      </c>
      <c r="AO50" s="252">
        <f>+WPF_bazowy!AO50+Symulacja!AO27</f>
        <v>0</v>
      </c>
      <c r="AP50" s="252">
        <f>+WPF_bazowy!AP50+Symulacja!AP27</f>
        <v>0</v>
      </c>
      <c r="AQ50" s="252">
        <f>+WPF_bazowy!AQ50+Symulacja!AQ27</f>
        <v>0</v>
      </c>
      <c r="AR50" s="252">
        <f>+WPF_bazowy!AR50+Symulacja!AR27</f>
        <v>0</v>
      </c>
      <c r="AS50" s="252">
        <f>+WPF_bazowy!AS50+Symulacja!AS27</f>
        <v>0</v>
      </c>
      <c r="AT50" s="252">
        <f>+WPF_bazowy!AT50+Symulacja!AT27</f>
        <v>0</v>
      </c>
      <c r="AU50" s="252">
        <f>+WPF_bazowy!AU50+Symulacja!AU27</f>
        <v>0</v>
      </c>
      <c r="AV50" s="252">
        <f>+WPF_bazowy!AV50+Symulacja!AV27</f>
        <v>0</v>
      </c>
      <c r="AW50" s="252">
        <f>+WPF_bazowy!AW50+Symulacja!AW27</f>
        <v>0</v>
      </c>
      <c r="AX50" s="252">
        <f>+WPF_bazowy!AX50+Symulacja!AX27</f>
        <v>0</v>
      </c>
      <c r="AY50" s="252">
        <f>+WPF_bazowy!AY50+Symulacja!AY27</f>
        <v>0</v>
      </c>
      <c r="AZ50" s="252">
        <f>+WPF_bazowy!AZ50+Symulacja!AZ27</f>
        <v>0</v>
      </c>
      <c r="BA50" s="253">
        <f>+WPF_bazowy!BA50+Symulacja!BA27</f>
        <v>0</v>
      </c>
      <c r="BB50" s="153"/>
    </row>
    <row r="51" spans="1:54" ht="15" outlineLevel="3">
      <c r="C51" s="162" t="s">
        <v>169</v>
      </c>
      <c r="D51" s="169"/>
      <c r="E51" s="232" t="s">
        <v>327</v>
      </c>
      <c r="F51" s="175" t="s">
        <v>27</v>
      </c>
      <c r="G51" s="175" t="s">
        <v>27</v>
      </c>
      <c r="H51" s="175" t="s">
        <v>27</v>
      </c>
      <c r="I51" s="175" t="s">
        <v>27</v>
      </c>
      <c r="J51" s="175" t="s">
        <v>27</v>
      </c>
      <c r="K51" s="176" t="s">
        <v>27</v>
      </c>
      <c r="L51" s="176" t="s">
        <v>27</v>
      </c>
      <c r="M51" s="177" t="s">
        <v>27</v>
      </c>
      <c r="N51" s="167">
        <f>+ROUND(SUM(N52:N54),2)+Symulacja!N28</f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  <c r="AF51" s="165">
        <v>0</v>
      </c>
      <c r="AG51" s="165">
        <v>0</v>
      </c>
      <c r="AH51" s="165">
        <v>0</v>
      </c>
      <c r="AI51" s="165">
        <v>0</v>
      </c>
      <c r="AJ51" s="165">
        <v>0</v>
      </c>
      <c r="AK51" s="165">
        <v>0</v>
      </c>
      <c r="AL51" s="165">
        <v>0</v>
      </c>
      <c r="AM51" s="165">
        <v>0</v>
      </c>
      <c r="AN51" s="165">
        <v>0</v>
      </c>
      <c r="AO51" s="165">
        <v>0</v>
      </c>
      <c r="AP51" s="165">
        <v>0</v>
      </c>
      <c r="AQ51" s="165">
        <v>0</v>
      </c>
      <c r="AR51" s="165">
        <v>0</v>
      </c>
      <c r="AS51" s="165">
        <v>0</v>
      </c>
      <c r="AT51" s="165">
        <v>0</v>
      </c>
      <c r="AU51" s="165">
        <v>0</v>
      </c>
      <c r="AV51" s="165">
        <v>0</v>
      </c>
      <c r="AW51" s="165">
        <v>0</v>
      </c>
      <c r="AX51" s="165">
        <v>0</v>
      </c>
      <c r="AY51" s="165">
        <v>0</v>
      </c>
      <c r="AZ51" s="165">
        <v>0</v>
      </c>
      <c r="BA51" s="178">
        <v>0</v>
      </c>
      <c r="BB51" s="153"/>
    </row>
    <row r="52" spans="1:54" outlineLevel="4">
      <c r="C52" s="162" t="s">
        <v>274</v>
      </c>
      <c r="D52" s="169"/>
      <c r="E52" s="214" t="s">
        <v>328</v>
      </c>
      <c r="F52" s="175" t="s">
        <v>27</v>
      </c>
      <c r="G52" s="175" t="s">
        <v>27</v>
      </c>
      <c r="H52" s="175" t="s">
        <v>27</v>
      </c>
      <c r="I52" s="175" t="s">
        <v>27</v>
      </c>
      <c r="J52" s="175" t="s">
        <v>27</v>
      </c>
      <c r="K52" s="176" t="s">
        <v>27</v>
      </c>
      <c r="L52" s="176" t="s">
        <v>27</v>
      </c>
      <c r="M52" s="177" t="s">
        <v>27</v>
      </c>
      <c r="N52" s="251">
        <f>+WPF_bazowy!N52</f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0</v>
      </c>
      <c r="AF52" s="165">
        <v>0</v>
      </c>
      <c r="AG52" s="165">
        <v>0</v>
      </c>
      <c r="AH52" s="165">
        <v>0</v>
      </c>
      <c r="AI52" s="165">
        <v>0</v>
      </c>
      <c r="AJ52" s="165">
        <v>0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5">
        <v>0</v>
      </c>
      <c r="AR52" s="165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165">
        <v>0</v>
      </c>
      <c r="AY52" s="165">
        <v>0</v>
      </c>
      <c r="AZ52" s="165">
        <v>0</v>
      </c>
      <c r="BA52" s="178">
        <v>0</v>
      </c>
    </row>
    <row r="53" spans="1:54" outlineLevel="4">
      <c r="C53" s="162" t="s">
        <v>275</v>
      </c>
      <c r="D53" s="169"/>
      <c r="E53" s="214" t="s">
        <v>329</v>
      </c>
      <c r="F53" s="175" t="s">
        <v>27</v>
      </c>
      <c r="G53" s="175" t="s">
        <v>27</v>
      </c>
      <c r="H53" s="175" t="s">
        <v>27</v>
      </c>
      <c r="I53" s="175" t="s">
        <v>27</v>
      </c>
      <c r="J53" s="175" t="s">
        <v>27</v>
      </c>
      <c r="K53" s="176" t="s">
        <v>27</v>
      </c>
      <c r="L53" s="176" t="s">
        <v>27</v>
      </c>
      <c r="M53" s="177" t="s">
        <v>27</v>
      </c>
      <c r="N53" s="251">
        <f>+WPF_bazowy!N53</f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0</v>
      </c>
      <c r="AG53" s="165">
        <v>0</v>
      </c>
      <c r="AH53" s="165">
        <v>0</v>
      </c>
      <c r="AI53" s="165">
        <v>0</v>
      </c>
      <c r="AJ53" s="165">
        <v>0</v>
      </c>
      <c r="AK53" s="165">
        <v>0</v>
      </c>
      <c r="AL53" s="165">
        <v>0</v>
      </c>
      <c r="AM53" s="165">
        <v>0</v>
      </c>
      <c r="AN53" s="165">
        <v>0</v>
      </c>
      <c r="AO53" s="165">
        <v>0</v>
      </c>
      <c r="AP53" s="165">
        <v>0</v>
      </c>
      <c r="AQ53" s="165">
        <v>0</v>
      </c>
      <c r="AR53" s="165">
        <v>0</v>
      </c>
      <c r="AS53" s="165">
        <v>0</v>
      </c>
      <c r="AT53" s="165">
        <v>0</v>
      </c>
      <c r="AU53" s="165">
        <v>0</v>
      </c>
      <c r="AV53" s="165">
        <v>0</v>
      </c>
      <c r="AW53" s="165">
        <v>0</v>
      </c>
      <c r="AX53" s="165">
        <v>0</v>
      </c>
      <c r="AY53" s="165">
        <v>0</v>
      </c>
      <c r="AZ53" s="165">
        <v>0</v>
      </c>
      <c r="BA53" s="178">
        <v>0</v>
      </c>
    </row>
    <row r="54" spans="1:54" ht="15" outlineLevel="4">
      <c r="C54" s="162" t="s">
        <v>276</v>
      </c>
      <c r="D54" s="169"/>
      <c r="E54" s="214" t="s">
        <v>330</v>
      </c>
      <c r="F54" s="175" t="s">
        <v>27</v>
      </c>
      <c r="G54" s="175" t="s">
        <v>27</v>
      </c>
      <c r="H54" s="175" t="s">
        <v>27</v>
      </c>
      <c r="I54" s="175" t="s">
        <v>27</v>
      </c>
      <c r="J54" s="175" t="s">
        <v>27</v>
      </c>
      <c r="K54" s="176" t="s">
        <v>27</v>
      </c>
      <c r="L54" s="176" t="s">
        <v>27</v>
      </c>
      <c r="M54" s="177" t="s">
        <v>27</v>
      </c>
      <c r="N54" s="251">
        <f>+WPF_bazowy!N54</f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v>0</v>
      </c>
      <c r="AI54" s="165">
        <v>0</v>
      </c>
      <c r="AJ54" s="165">
        <v>0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5">
        <v>0</v>
      </c>
      <c r="AR54" s="165">
        <v>0</v>
      </c>
      <c r="AS54" s="165">
        <v>0</v>
      </c>
      <c r="AT54" s="165">
        <v>0</v>
      </c>
      <c r="AU54" s="165">
        <v>0</v>
      </c>
      <c r="AV54" s="165">
        <v>0</v>
      </c>
      <c r="AW54" s="165">
        <v>0</v>
      </c>
      <c r="AX54" s="165">
        <v>0</v>
      </c>
      <c r="AY54" s="165">
        <v>0</v>
      </c>
      <c r="AZ54" s="165">
        <v>0</v>
      </c>
      <c r="BA54" s="178">
        <v>0</v>
      </c>
      <c r="BB54" s="153"/>
    </row>
    <row r="55" spans="1:54" ht="15" outlineLevel="4">
      <c r="A55" s="238"/>
      <c r="C55" s="162" t="s">
        <v>583</v>
      </c>
      <c r="D55" s="169"/>
      <c r="E55" s="217" t="s">
        <v>645</v>
      </c>
      <c r="F55" s="175">
        <f>+WPF_bazowy!F55+Symulacja!F29</f>
        <v>0</v>
      </c>
      <c r="G55" s="175">
        <f>+WPF_bazowy!G55+Symulacja!G29</f>
        <v>0</v>
      </c>
      <c r="H55" s="175">
        <f>+WPF_bazowy!H55+Symulacja!H29</f>
        <v>0</v>
      </c>
      <c r="I55" s="175">
        <f>+WPF_bazowy!I55+Symulacja!I29</f>
        <v>0</v>
      </c>
      <c r="J55" s="175">
        <f>+WPF_bazowy!J55+Symulacja!J29</f>
        <v>0</v>
      </c>
      <c r="K55" s="176">
        <f>+WPF_bazowy!K55+Symulacja!K29</f>
        <v>0</v>
      </c>
      <c r="L55" s="176">
        <f>+WPF_bazowy!L55+Symulacja!L29</f>
        <v>0</v>
      </c>
      <c r="M55" s="177">
        <f>+WPF_bazowy!M55+Symulacja!M29</f>
        <v>0</v>
      </c>
      <c r="N55" s="251">
        <f>+WPF_bazowy!N55+Symulacja!N29</f>
        <v>0</v>
      </c>
      <c r="O55" s="252">
        <f>+WPF_bazowy!O55+Symulacja!O29</f>
        <v>0</v>
      </c>
      <c r="P55" s="252">
        <f>+WPF_bazowy!P55+Symulacja!P29</f>
        <v>0</v>
      </c>
      <c r="Q55" s="252">
        <f>+WPF_bazowy!Q55+Symulacja!Q29</f>
        <v>0</v>
      </c>
      <c r="R55" s="252">
        <f>+WPF_bazowy!R55+Symulacja!R29</f>
        <v>0</v>
      </c>
      <c r="S55" s="252">
        <f>+WPF_bazowy!S55+Symulacja!S29</f>
        <v>0</v>
      </c>
      <c r="T55" s="252">
        <f>+WPF_bazowy!T55+Symulacja!T29</f>
        <v>0</v>
      </c>
      <c r="U55" s="252">
        <f>+WPF_bazowy!U55+Symulacja!U29</f>
        <v>0</v>
      </c>
      <c r="V55" s="252">
        <f>+WPF_bazowy!V55+Symulacja!V29</f>
        <v>0</v>
      </c>
      <c r="W55" s="252">
        <f>+WPF_bazowy!W55+Symulacja!W29</f>
        <v>0</v>
      </c>
      <c r="X55" s="252">
        <f>+WPF_bazowy!X55+Symulacja!X29</f>
        <v>0</v>
      </c>
      <c r="Y55" s="252">
        <f>+WPF_bazowy!Y55+Symulacja!Y29</f>
        <v>0</v>
      </c>
      <c r="Z55" s="252">
        <f>+WPF_bazowy!Z55+Symulacja!Z29</f>
        <v>0</v>
      </c>
      <c r="AA55" s="252">
        <f>+WPF_bazowy!AA55+Symulacja!AA29</f>
        <v>0</v>
      </c>
      <c r="AB55" s="252">
        <f>+WPF_bazowy!AB55+Symulacja!AB29</f>
        <v>0</v>
      </c>
      <c r="AC55" s="252">
        <f>+WPF_bazowy!AC55+Symulacja!AC29</f>
        <v>0</v>
      </c>
      <c r="AD55" s="252">
        <f>+WPF_bazowy!AD55+Symulacja!AD29</f>
        <v>0</v>
      </c>
      <c r="AE55" s="252">
        <f>+WPF_bazowy!AE55+Symulacja!AE29</f>
        <v>0</v>
      </c>
      <c r="AF55" s="252">
        <f>+WPF_bazowy!AF55+Symulacja!AF29</f>
        <v>0</v>
      </c>
      <c r="AG55" s="252">
        <f>+WPF_bazowy!AG55+Symulacja!AG29</f>
        <v>0</v>
      </c>
      <c r="AH55" s="252">
        <f>+WPF_bazowy!AH55+Symulacja!AH29</f>
        <v>0</v>
      </c>
      <c r="AI55" s="252">
        <f>+WPF_bazowy!AI55+Symulacja!AI29</f>
        <v>0</v>
      </c>
      <c r="AJ55" s="252">
        <f>+WPF_bazowy!AJ55+Symulacja!AJ29</f>
        <v>0</v>
      </c>
      <c r="AK55" s="252">
        <f>+WPF_bazowy!AK55+Symulacja!AK29</f>
        <v>0</v>
      </c>
      <c r="AL55" s="252">
        <f>+WPF_bazowy!AL55+Symulacja!AL29</f>
        <v>0</v>
      </c>
      <c r="AM55" s="252">
        <f>+WPF_bazowy!AM55+Symulacja!AM29</f>
        <v>0</v>
      </c>
      <c r="AN55" s="252">
        <f>+WPF_bazowy!AN55+Symulacja!AN29</f>
        <v>0</v>
      </c>
      <c r="AO55" s="252">
        <f>+WPF_bazowy!AO55+Symulacja!AO29</f>
        <v>0</v>
      </c>
      <c r="AP55" s="252">
        <f>+WPF_bazowy!AP55+Symulacja!AP29</f>
        <v>0</v>
      </c>
      <c r="AQ55" s="252">
        <f>+WPF_bazowy!AQ55+Symulacja!AQ29</f>
        <v>0</v>
      </c>
      <c r="AR55" s="252">
        <f>+WPF_bazowy!AR55+Symulacja!AR29</f>
        <v>0</v>
      </c>
      <c r="AS55" s="252">
        <f>+WPF_bazowy!AS55+Symulacja!AS29</f>
        <v>0</v>
      </c>
      <c r="AT55" s="252">
        <f>+WPF_bazowy!AT55+Symulacja!AT29</f>
        <v>0</v>
      </c>
      <c r="AU55" s="252">
        <f>+WPF_bazowy!AU55+Symulacja!AU29</f>
        <v>0</v>
      </c>
      <c r="AV55" s="252">
        <f>+WPF_bazowy!AV55+Symulacja!AV29</f>
        <v>0</v>
      </c>
      <c r="AW55" s="252">
        <f>+WPF_bazowy!AW55+Symulacja!AW29</f>
        <v>0</v>
      </c>
      <c r="AX55" s="252">
        <f>+WPF_bazowy!AX55+Symulacja!AX29</f>
        <v>0</v>
      </c>
      <c r="AY55" s="252">
        <f>+WPF_bazowy!AY55+Symulacja!AY29</f>
        <v>0</v>
      </c>
      <c r="AZ55" s="252">
        <f>+WPF_bazowy!AZ55+Symulacja!AZ29</f>
        <v>0</v>
      </c>
      <c r="BA55" s="253">
        <f>+WPF_bazowy!BA55+Symulacja!BA29</f>
        <v>0</v>
      </c>
      <c r="BB55" s="153"/>
    </row>
    <row r="56" spans="1:54" outlineLevel="1">
      <c r="C56" s="162" t="s">
        <v>60</v>
      </c>
      <c r="D56" s="169"/>
      <c r="E56" s="234" t="s">
        <v>94</v>
      </c>
      <c r="F56" s="164">
        <f>+WPF_bazowy!F56+Symulacja!F30</f>
        <v>0</v>
      </c>
      <c r="G56" s="164">
        <f>+WPF_bazowy!G56+Symulacja!G30</f>
        <v>0</v>
      </c>
      <c r="H56" s="164">
        <f>+WPF_bazowy!H56+Symulacja!H30</f>
        <v>0</v>
      </c>
      <c r="I56" s="164">
        <f>+WPF_bazowy!I56+Symulacja!I30</f>
        <v>0</v>
      </c>
      <c r="J56" s="164">
        <f>+WPF_bazowy!J56+Symulacja!J30</f>
        <v>0</v>
      </c>
      <c r="K56" s="165">
        <f>+WPF_bazowy!K56+Symulacja!K30</f>
        <v>0</v>
      </c>
      <c r="L56" s="165">
        <f>+WPF_bazowy!L56+Symulacja!L30</f>
        <v>90000</v>
      </c>
      <c r="M56" s="250">
        <f>+WPF_bazowy!M56+Symulacja!M30</f>
        <v>312000</v>
      </c>
      <c r="N56" s="251">
        <f>+WPF_bazowy!N56+Symulacja!N30</f>
        <v>0</v>
      </c>
      <c r="O56" s="252">
        <f>+WPF_bazowy!O56+Symulacja!O30</f>
        <v>0</v>
      </c>
      <c r="P56" s="252">
        <f>+WPF_bazowy!P56+Symulacja!P30</f>
        <v>0</v>
      </c>
      <c r="Q56" s="252">
        <f>+WPF_bazowy!Q56+Symulacja!Q30</f>
        <v>0</v>
      </c>
      <c r="R56" s="252">
        <f>+WPF_bazowy!R56+Symulacja!R30</f>
        <v>0</v>
      </c>
      <c r="S56" s="252">
        <f>+WPF_bazowy!S56+Symulacja!S30</f>
        <v>0</v>
      </c>
      <c r="T56" s="252">
        <f>+WPF_bazowy!T56+Symulacja!T30</f>
        <v>0</v>
      </c>
      <c r="U56" s="252">
        <f>+WPF_bazowy!U56+Symulacja!U30</f>
        <v>0</v>
      </c>
      <c r="V56" s="252">
        <f>+WPF_bazowy!V56+Symulacja!V30</f>
        <v>0</v>
      </c>
      <c r="W56" s="252">
        <f>+WPF_bazowy!W56+Symulacja!W30</f>
        <v>0</v>
      </c>
      <c r="X56" s="252">
        <f>+WPF_bazowy!X56+Symulacja!X30</f>
        <v>0</v>
      </c>
      <c r="Y56" s="252">
        <f>+WPF_bazowy!Y56+Symulacja!Y30</f>
        <v>0</v>
      </c>
      <c r="Z56" s="252">
        <f>+WPF_bazowy!Z56+Symulacja!Z30</f>
        <v>0</v>
      </c>
      <c r="AA56" s="252">
        <f>+WPF_bazowy!AA56+Symulacja!AA30</f>
        <v>0</v>
      </c>
      <c r="AB56" s="252">
        <f>+WPF_bazowy!AB56+Symulacja!AB30</f>
        <v>0</v>
      </c>
      <c r="AC56" s="252">
        <f>+WPF_bazowy!AC56+Symulacja!AC30</f>
        <v>0</v>
      </c>
      <c r="AD56" s="252">
        <f>+WPF_bazowy!AD56+Symulacja!AD30</f>
        <v>0</v>
      </c>
      <c r="AE56" s="252">
        <f>+WPF_bazowy!AE56+Symulacja!AE30</f>
        <v>0</v>
      </c>
      <c r="AF56" s="252">
        <f>+WPF_bazowy!AF56+Symulacja!AF30</f>
        <v>0</v>
      </c>
      <c r="AG56" s="252">
        <f>+WPF_bazowy!AG56+Symulacja!AG30</f>
        <v>0</v>
      </c>
      <c r="AH56" s="252">
        <f>+WPF_bazowy!AH56+Symulacja!AH30</f>
        <v>0</v>
      </c>
      <c r="AI56" s="252">
        <f>+WPF_bazowy!AI56+Symulacja!AI30</f>
        <v>0</v>
      </c>
      <c r="AJ56" s="252">
        <f>+WPF_bazowy!AJ56+Symulacja!AJ30</f>
        <v>0</v>
      </c>
      <c r="AK56" s="252">
        <f>+WPF_bazowy!AK56+Symulacja!AK30</f>
        <v>0</v>
      </c>
      <c r="AL56" s="252">
        <f>+WPF_bazowy!AL56+Symulacja!AL30</f>
        <v>0</v>
      </c>
      <c r="AM56" s="252">
        <f>+WPF_bazowy!AM56+Symulacja!AM30</f>
        <v>0</v>
      </c>
      <c r="AN56" s="252">
        <f>+WPF_bazowy!AN56+Symulacja!AN30</f>
        <v>0</v>
      </c>
      <c r="AO56" s="252">
        <f>+WPF_bazowy!AO56+Symulacja!AO30</f>
        <v>0</v>
      </c>
      <c r="AP56" s="252">
        <f>+WPF_bazowy!AP56+Symulacja!AP30</f>
        <v>0</v>
      </c>
      <c r="AQ56" s="252">
        <f>+WPF_bazowy!AQ56+Symulacja!AQ30</f>
        <v>0</v>
      </c>
      <c r="AR56" s="252">
        <f>+WPF_bazowy!AR56+Symulacja!AR30</f>
        <v>0</v>
      </c>
      <c r="AS56" s="252">
        <f>+WPF_bazowy!AS56+Symulacja!AS30</f>
        <v>0</v>
      </c>
      <c r="AT56" s="252">
        <f>+WPF_bazowy!AT56+Symulacja!AT30</f>
        <v>0</v>
      </c>
      <c r="AU56" s="252">
        <f>+WPF_bazowy!AU56+Symulacja!AU30</f>
        <v>0</v>
      </c>
      <c r="AV56" s="252">
        <f>+WPF_bazowy!AV56+Symulacja!AV30</f>
        <v>0</v>
      </c>
      <c r="AW56" s="252">
        <f>+WPF_bazowy!AW56+Symulacja!AW30</f>
        <v>0</v>
      </c>
      <c r="AX56" s="252">
        <f>+WPF_bazowy!AX56+Symulacja!AX30</f>
        <v>0</v>
      </c>
      <c r="AY56" s="252">
        <f>+WPF_bazowy!AY56+Symulacja!AY30</f>
        <v>0</v>
      </c>
      <c r="AZ56" s="252">
        <f>+WPF_bazowy!AZ56+Symulacja!AZ30</f>
        <v>0</v>
      </c>
      <c r="BA56" s="253">
        <f>+WPF_bazowy!BA56+Symulacja!BA30</f>
        <v>0</v>
      </c>
    </row>
    <row r="57" spans="1:54">
      <c r="A57" s="127" t="s">
        <v>27</v>
      </c>
      <c r="C57" s="179" t="s">
        <v>371</v>
      </c>
      <c r="D57" s="169" t="s">
        <v>362</v>
      </c>
      <c r="E57" s="222" t="s">
        <v>219</v>
      </c>
      <c r="F57" s="157">
        <f>+WPF_bazowy!F57+Symulacja!F39</f>
        <v>0</v>
      </c>
      <c r="G57" s="157">
        <f>+WPF_bazowy!G57+Symulacja!G39</f>
        <v>0</v>
      </c>
      <c r="H57" s="157">
        <f>+WPF_bazowy!H57+Symulacja!H39</f>
        <v>0</v>
      </c>
      <c r="I57" s="157">
        <f>+WPF_bazowy!I57+Symulacja!I39</f>
        <v>0</v>
      </c>
      <c r="J57" s="157">
        <f>+WPF_bazowy!J57+Symulacja!J39</f>
        <v>11915000</v>
      </c>
      <c r="K57" s="158">
        <f>+WPF_bazowy!K57+Symulacja!K39</f>
        <v>11915000</v>
      </c>
      <c r="L57" s="158">
        <f>+WPF_bazowy!L57+Symulacja!L39</f>
        <v>11915000</v>
      </c>
      <c r="M57" s="254">
        <f>+WPF_bazowy!M57+Symulacja!M39</f>
        <v>11915000</v>
      </c>
      <c r="N57" s="173">
        <f>+ROUND(M57+N36-N47+(N58-M58)+N105,2)</f>
        <v>18415000</v>
      </c>
      <c r="O57" s="174">
        <f>+ROUND(N57+O36-O47+(O58-N58)+O105,2)</f>
        <v>17415000</v>
      </c>
      <c r="P57" s="174">
        <f t="shared" ref="P57:X57" si="15">+ROUND(O57+P36-P47+(P58-O58)+P105,2)</f>
        <v>15500000</v>
      </c>
      <c r="Q57" s="174">
        <f t="shared" si="15"/>
        <v>13500000</v>
      </c>
      <c r="R57" s="174">
        <f t="shared" si="15"/>
        <v>11500000</v>
      </c>
      <c r="S57" s="174">
        <f t="shared" si="15"/>
        <v>9500000</v>
      </c>
      <c r="T57" s="174">
        <f t="shared" si="15"/>
        <v>8000000</v>
      </c>
      <c r="U57" s="174">
        <f t="shared" si="15"/>
        <v>6500000</v>
      </c>
      <c r="V57" s="174">
        <f t="shared" si="15"/>
        <v>5000000</v>
      </c>
      <c r="W57" s="174">
        <f t="shared" si="15"/>
        <v>3500000</v>
      </c>
      <c r="X57" s="174">
        <f t="shared" si="15"/>
        <v>1750000</v>
      </c>
      <c r="Y57" s="174">
        <f t="shared" ref="Y57:BA57" si="16">+ROUND(X57+Y36-Y47+(Y58-X58)+Y105,2)</f>
        <v>0</v>
      </c>
      <c r="Z57" s="174">
        <f t="shared" si="16"/>
        <v>0</v>
      </c>
      <c r="AA57" s="174">
        <f t="shared" si="16"/>
        <v>0</v>
      </c>
      <c r="AB57" s="174">
        <f t="shared" si="16"/>
        <v>0</v>
      </c>
      <c r="AC57" s="174">
        <f t="shared" si="16"/>
        <v>0</v>
      </c>
      <c r="AD57" s="174">
        <f t="shared" si="16"/>
        <v>0</v>
      </c>
      <c r="AE57" s="174">
        <f t="shared" si="16"/>
        <v>0</v>
      </c>
      <c r="AF57" s="174">
        <f t="shared" si="16"/>
        <v>0</v>
      </c>
      <c r="AG57" s="174">
        <f t="shared" si="16"/>
        <v>0</v>
      </c>
      <c r="AH57" s="174">
        <f t="shared" si="16"/>
        <v>0</v>
      </c>
      <c r="AI57" s="174">
        <f t="shared" si="16"/>
        <v>0</v>
      </c>
      <c r="AJ57" s="174">
        <f t="shared" si="16"/>
        <v>0</v>
      </c>
      <c r="AK57" s="174">
        <f t="shared" si="16"/>
        <v>0</v>
      </c>
      <c r="AL57" s="174">
        <f t="shared" si="16"/>
        <v>0</v>
      </c>
      <c r="AM57" s="174">
        <f t="shared" si="16"/>
        <v>0</v>
      </c>
      <c r="AN57" s="174">
        <f t="shared" si="16"/>
        <v>0</v>
      </c>
      <c r="AO57" s="174">
        <f t="shared" si="16"/>
        <v>0</v>
      </c>
      <c r="AP57" s="174">
        <f t="shared" si="16"/>
        <v>0</v>
      </c>
      <c r="AQ57" s="174">
        <f t="shared" si="16"/>
        <v>0</v>
      </c>
      <c r="AR57" s="174">
        <f t="shared" si="16"/>
        <v>0</v>
      </c>
      <c r="AS57" s="174">
        <f t="shared" si="16"/>
        <v>0</v>
      </c>
      <c r="AT57" s="174">
        <f t="shared" si="16"/>
        <v>0</v>
      </c>
      <c r="AU57" s="174">
        <f t="shared" si="16"/>
        <v>0</v>
      </c>
      <c r="AV57" s="174">
        <f t="shared" si="16"/>
        <v>0</v>
      </c>
      <c r="AW57" s="174">
        <f t="shared" si="16"/>
        <v>0</v>
      </c>
      <c r="AX57" s="174">
        <f t="shared" si="16"/>
        <v>0</v>
      </c>
      <c r="AY57" s="174">
        <f t="shared" si="16"/>
        <v>0</v>
      </c>
      <c r="AZ57" s="174">
        <f t="shared" si="16"/>
        <v>0</v>
      </c>
      <c r="BA57" s="172">
        <f t="shared" si="16"/>
        <v>0</v>
      </c>
    </row>
    <row r="58" spans="1:54" outlineLevel="1">
      <c r="A58" s="127" t="s">
        <v>27</v>
      </c>
      <c r="C58" s="162" t="s">
        <v>61</v>
      </c>
      <c r="D58" s="169"/>
      <c r="E58" s="234" t="s">
        <v>331</v>
      </c>
      <c r="F58" s="164">
        <f>+WPF_bazowy!F58+Symulacja!F39</f>
        <v>0</v>
      </c>
      <c r="G58" s="164">
        <f>+WPF_bazowy!G58+Symulacja!G39</f>
        <v>0</v>
      </c>
      <c r="H58" s="164">
        <f>+WPF_bazowy!H58+Symulacja!H39</f>
        <v>0</v>
      </c>
      <c r="I58" s="164">
        <f>+WPF_bazowy!I58+Symulacja!I39</f>
        <v>0</v>
      </c>
      <c r="J58" s="164">
        <f>+WPF_bazowy!J58+Symulacja!J39</f>
        <v>0</v>
      </c>
      <c r="K58" s="165">
        <f>+WPF_bazowy!K58+Symulacja!K39</f>
        <v>0</v>
      </c>
      <c r="L58" s="165">
        <f>+WPF_bazowy!L58+Symulacja!L39</f>
        <v>0</v>
      </c>
      <c r="M58" s="250">
        <f>+WPF_bazowy!M58+Symulacja!M39</f>
        <v>0</v>
      </c>
      <c r="N58" s="251">
        <f>+WPF_bazowy!N58+Symulacja!N39</f>
        <v>0</v>
      </c>
      <c r="O58" s="252">
        <f>+WPF_bazowy!O58+Symulacja!O39</f>
        <v>0</v>
      </c>
      <c r="P58" s="252">
        <f>+WPF_bazowy!P58+Symulacja!P39</f>
        <v>0</v>
      </c>
      <c r="Q58" s="252">
        <f>+WPF_bazowy!Q58+Symulacja!Q39</f>
        <v>0</v>
      </c>
      <c r="R58" s="252">
        <f>+WPF_bazowy!R58+Symulacja!R39</f>
        <v>0</v>
      </c>
      <c r="S58" s="252">
        <f>+WPF_bazowy!S58+Symulacja!S39</f>
        <v>0</v>
      </c>
      <c r="T58" s="252">
        <f>+WPF_bazowy!T58+Symulacja!T39</f>
        <v>0</v>
      </c>
      <c r="U58" s="252">
        <f>+WPF_bazowy!U58+Symulacja!U39</f>
        <v>0</v>
      </c>
      <c r="V58" s="252">
        <f>+WPF_bazowy!V58+Symulacja!V39</f>
        <v>0</v>
      </c>
      <c r="W58" s="252">
        <f>+WPF_bazowy!W58+Symulacja!W39</f>
        <v>0</v>
      </c>
      <c r="X58" s="252">
        <f>+WPF_bazowy!X58+Symulacja!X39</f>
        <v>0</v>
      </c>
      <c r="Y58" s="252">
        <f>+WPF_bazowy!Y58+Symulacja!Y39</f>
        <v>0</v>
      </c>
      <c r="Z58" s="252">
        <f>+WPF_bazowy!Z58+Symulacja!Z39</f>
        <v>0</v>
      </c>
      <c r="AA58" s="252">
        <f>+WPF_bazowy!AA58+Symulacja!AA39</f>
        <v>0</v>
      </c>
      <c r="AB58" s="252">
        <f>+WPF_bazowy!AB58+Symulacja!AB39</f>
        <v>0</v>
      </c>
      <c r="AC58" s="252">
        <f>+WPF_bazowy!AC58+Symulacja!AC39</f>
        <v>0</v>
      </c>
      <c r="AD58" s="252">
        <f>+WPF_bazowy!AD58+Symulacja!AD39</f>
        <v>0</v>
      </c>
      <c r="AE58" s="252">
        <f>+WPF_bazowy!AE58+Symulacja!AE39</f>
        <v>0</v>
      </c>
      <c r="AF58" s="252">
        <f>+WPF_bazowy!AF58+Symulacja!AF39</f>
        <v>0</v>
      </c>
      <c r="AG58" s="252">
        <f>+WPF_bazowy!AG58+Symulacja!AG39</f>
        <v>0</v>
      </c>
      <c r="AH58" s="252">
        <f>+WPF_bazowy!AH58+Symulacja!AH39</f>
        <v>0</v>
      </c>
      <c r="AI58" s="252">
        <f>+WPF_bazowy!AI58+Symulacja!AI39</f>
        <v>0</v>
      </c>
      <c r="AJ58" s="252">
        <f>+WPF_bazowy!AJ58+Symulacja!AJ39</f>
        <v>0</v>
      </c>
      <c r="AK58" s="252">
        <f>+WPF_bazowy!AK58+Symulacja!AK39</f>
        <v>0</v>
      </c>
      <c r="AL58" s="252">
        <f>+WPF_bazowy!AL58+Symulacja!AL39</f>
        <v>0</v>
      </c>
      <c r="AM58" s="252">
        <f>+WPF_bazowy!AM58+Symulacja!AM39</f>
        <v>0</v>
      </c>
      <c r="AN58" s="252">
        <f>+WPF_bazowy!AN58+Symulacja!AN39</f>
        <v>0</v>
      </c>
      <c r="AO58" s="252">
        <f>+WPF_bazowy!AO58+Symulacja!AO39</f>
        <v>0</v>
      </c>
      <c r="AP58" s="252">
        <f>+WPF_bazowy!AP58+Symulacja!AP39</f>
        <v>0</v>
      </c>
      <c r="AQ58" s="252">
        <f>+WPF_bazowy!AQ58+Symulacja!AQ39</f>
        <v>0</v>
      </c>
      <c r="AR58" s="252">
        <f>+WPF_bazowy!AR58+Symulacja!AR39</f>
        <v>0</v>
      </c>
      <c r="AS58" s="252">
        <f>+WPF_bazowy!AS58+Symulacja!AS39</f>
        <v>0</v>
      </c>
      <c r="AT58" s="252">
        <f>+WPF_bazowy!AT58+Symulacja!AT39</f>
        <v>0</v>
      </c>
      <c r="AU58" s="252">
        <f>+WPF_bazowy!AU58+Symulacja!AU39</f>
        <v>0</v>
      </c>
      <c r="AV58" s="252">
        <f>+WPF_bazowy!AV58+Symulacja!AV39</f>
        <v>0</v>
      </c>
      <c r="AW58" s="252">
        <f>+WPF_bazowy!AW58+Symulacja!AW39</f>
        <v>0</v>
      </c>
      <c r="AX58" s="252">
        <f>+WPF_bazowy!AX58+Symulacja!AX39</f>
        <v>0</v>
      </c>
      <c r="AY58" s="252">
        <f>+WPF_bazowy!AY58+Symulacja!AY39</f>
        <v>0</v>
      </c>
      <c r="AZ58" s="252">
        <f>+WPF_bazowy!AZ58+Symulacja!AZ39</f>
        <v>0</v>
      </c>
      <c r="BA58" s="253">
        <f>+WPF_bazowy!BA58+Symulacja!BA39</f>
        <v>0</v>
      </c>
    </row>
    <row r="59" spans="1:54">
      <c r="A59" s="127" t="s">
        <v>27</v>
      </c>
      <c r="B59" s="238" t="s">
        <v>27</v>
      </c>
      <c r="C59" s="170">
        <v>7</v>
      </c>
      <c r="D59" s="169"/>
      <c r="E59" s="215" t="s">
        <v>62</v>
      </c>
      <c r="F59" s="180" t="s">
        <v>27</v>
      </c>
      <c r="G59" s="180" t="s">
        <v>27</v>
      </c>
      <c r="H59" s="180" t="s">
        <v>27</v>
      </c>
      <c r="I59" s="180" t="s">
        <v>27</v>
      </c>
      <c r="J59" s="180" t="s">
        <v>27</v>
      </c>
      <c r="K59" s="181" t="s">
        <v>27</v>
      </c>
      <c r="L59" s="181" t="s">
        <v>27</v>
      </c>
      <c r="M59" s="182" t="s">
        <v>27</v>
      </c>
      <c r="N59" s="180" t="s">
        <v>27</v>
      </c>
      <c r="O59" s="181" t="s">
        <v>27</v>
      </c>
      <c r="P59" s="181" t="s">
        <v>27</v>
      </c>
      <c r="Q59" s="181" t="s">
        <v>27</v>
      </c>
      <c r="R59" s="181" t="s">
        <v>27</v>
      </c>
      <c r="S59" s="181" t="s">
        <v>27</v>
      </c>
      <c r="T59" s="181" t="s">
        <v>27</v>
      </c>
      <c r="U59" s="181" t="s">
        <v>27</v>
      </c>
      <c r="V59" s="181" t="s">
        <v>27</v>
      </c>
      <c r="W59" s="181" t="s">
        <v>27</v>
      </c>
      <c r="X59" s="181" t="s">
        <v>27</v>
      </c>
      <c r="Y59" s="181" t="s">
        <v>27</v>
      </c>
      <c r="Z59" s="181" t="s">
        <v>27</v>
      </c>
      <c r="AA59" s="181" t="s">
        <v>27</v>
      </c>
      <c r="AB59" s="181" t="s">
        <v>27</v>
      </c>
      <c r="AC59" s="181" t="s">
        <v>27</v>
      </c>
      <c r="AD59" s="181" t="s">
        <v>27</v>
      </c>
      <c r="AE59" s="181" t="s">
        <v>27</v>
      </c>
      <c r="AF59" s="181" t="s">
        <v>27</v>
      </c>
      <c r="AG59" s="181" t="s">
        <v>27</v>
      </c>
      <c r="AH59" s="181" t="s">
        <v>27</v>
      </c>
      <c r="AI59" s="181" t="s">
        <v>27</v>
      </c>
      <c r="AJ59" s="181" t="s">
        <v>27</v>
      </c>
      <c r="AK59" s="181" t="s">
        <v>27</v>
      </c>
      <c r="AL59" s="181" t="s">
        <v>27</v>
      </c>
      <c r="AM59" s="181" t="s">
        <v>27</v>
      </c>
      <c r="AN59" s="181" t="s">
        <v>27</v>
      </c>
      <c r="AO59" s="181" t="s">
        <v>27</v>
      </c>
      <c r="AP59" s="181" t="s">
        <v>27</v>
      </c>
      <c r="AQ59" s="181" t="s">
        <v>27</v>
      </c>
      <c r="AR59" s="181" t="s">
        <v>27</v>
      </c>
      <c r="AS59" s="181" t="s">
        <v>27</v>
      </c>
      <c r="AT59" s="181" t="s">
        <v>27</v>
      </c>
      <c r="AU59" s="181" t="s">
        <v>27</v>
      </c>
      <c r="AV59" s="181" t="s">
        <v>27</v>
      </c>
      <c r="AW59" s="181" t="s">
        <v>27</v>
      </c>
      <c r="AX59" s="181" t="s">
        <v>27</v>
      </c>
      <c r="AY59" s="181" t="s">
        <v>27</v>
      </c>
      <c r="AZ59" s="181" t="s">
        <v>27</v>
      </c>
      <c r="BA59" s="182" t="s">
        <v>27</v>
      </c>
    </row>
    <row r="60" spans="1:54" outlineLevel="1">
      <c r="A60" s="127" t="s">
        <v>27</v>
      </c>
      <c r="B60" s="238" t="s">
        <v>27</v>
      </c>
      <c r="C60" s="162" t="s">
        <v>301</v>
      </c>
      <c r="D60" s="169" t="s">
        <v>367</v>
      </c>
      <c r="E60" s="231" t="s">
        <v>102</v>
      </c>
      <c r="F60" s="167">
        <f t="shared" ref="F60:M60" si="17">+ROUND(F11-F22,2)</f>
        <v>2352561.5</v>
      </c>
      <c r="G60" s="167">
        <f t="shared" si="17"/>
        <v>4353198.4800000004</v>
      </c>
      <c r="H60" s="167">
        <f t="shared" si="17"/>
        <v>3565984.06</v>
      </c>
      <c r="I60" s="167">
        <f t="shared" si="17"/>
        <v>4245842.47</v>
      </c>
      <c r="J60" s="167">
        <f t="shared" si="17"/>
        <v>5872693.0700000003</v>
      </c>
      <c r="K60" s="168">
        <f t="shared" si="17"/>
        <v>4586950.83</v>
      </c>
      <c r="L60" s="168">
        <f t="shared" si="17"/>
        <v>2120038</v>
      </c>
      <c r="M60" s="166">
        <f t="shared" si="17"/>
        <v>8749720.2599999998</v>
      </c>
      <c r="N60" s="167">
        <f t="shared" ref="N60:X60" si="18">+IF(N9&lt;=Ostatni_rok_analizy,ROUND(N11-N22,2),0)</f>
        <v>1058265</v>
      </c>
      <c r="O60" s="168">
        <f t="shared" si="18"/>
        <v>1904854</v>
      </c>
      <c r="P60" s="168">
        <f t="shared" si="18"/>
        <v>2445284</v>
      </c>
      <c r="Q60" s="168">
        <f t="shared" si="18"/>
        <v>3113533</v>
      </c>
      <c r="R60" s="168">
        <f t="shared" si="18"/>
        <v>3816905</v>
      </c>
      <c r="S60" s="168">
        <f t="shared" si="18"/>
        <v>4498543</v>
      </c>
      <c r="T60" s="168">
        <f t="shared" si="18"/>
        <v>5146159</v>
      </c>
      <c r="U60" s="168">
        <f t="shared" si="18"/>
        <v>5690393</v>
      </c>
      <c r="V60" s="168">
        <f t="shared" si="18"/>
        <v>6126926</v>
      </c>
      <c r="W60" s="168">
        <f t="shared" si="18"/>
        <v>6514120</v>
      </c>
      <c r="X60" s="168">
        <f t="shared" si="18"/>
        <v>6861826</v>
      </c>
      <c r="Y60" s="168">
        <f t="shared" ref="Y60:BA60" si="19">+IF(Y9&lt;=Ostatni_rok_analizy,ROUND(Y11-Y22,2),0)</f>
        <v>7165107</v>
      </c>
      <c r="Z60" s="168">
        <f t="shared" si="19"/>
        <v>0</v>
      </c>
      <c r="AA60" s="168">
        <f t="shared" si="19"/>
        <v>0</v>
      </c>
      <c r="AB60" s="168">
        <f t="shared" si="19"/>
        <v>0</v>
      </c>
      <c r="AC60" s="168">
        <f t="shared" si="19"/>
        <v>0</v>
      </c>
      <c r="AD60" s="168">
        <f t="shared" si="19"/>
        <v>0</v>
      </c>
      <c r="AE60" s="168">
        <f t="shared" si="19"/>
        <v>0</v>
      </c>
      <c r="AF60" s="168">
        <f t="shared" si="19"/>
        <v>0</v>
      </c>
      <c r="AG60" s="168">
        <f t="shared" si="19"/>
        <v>0</v>
      </c>
      <c r="AH60" s="168">
        <f t="shared" si="19"/>
        <v>0</v>
      </c>
      <c r="AI60" s="168">
        <f t="shared" si="19"/>
        <v>0</v>
      </c>
      <c r="AJ60" s="168">
        <f t="shared" si="19"/>
        <v>0</v>
      </c>
      <c r="AK60" s="168">
        <f t="shared" si="19"/>
        <v>0</v>
      </c>
      <c r="AL60" s="168">
        <f t="shared" si="19"/>
        <v>0</v>
      </c>
      <c r="AM60" s="168">
        <f t="shared" si="19"/>
        <v>0</v>
      </c>
      <c r="AN60" s="168">
        <f t="shared" si="19"/>
        <v>0</v>
      </c>
      <c r="AO60" s="168">
        <f t="shared" si="19"/>
        <v>0</v>
      </c>
      <c r="AP60" s="168">
        <f t="shared" si="19"/>
        <v>0</v>
      </c>
      <c r="AQ60" s="168">
        <f t="shared" si="19"/>
        <v>0</v>
      </c>
      <c r="AR60" s="168">
        <f t="shared" si="19"/>
        <v>0</v>
      </c>
      <c r="AS60" s="168">
        <f t="shared" si="19"/>
        <v>0</v>
      </c>
      <c r="AT60" s="168">
        <f t="shared" si="19"/>
        <v>0</v>
      </c>
      <c r="AU60" s="168">
        <f t="shared" si="19"/>
        <v>0</v>
      </c>
      <c r="AV60" s="168">
        <f t="shared" si="19"/>
        <v>0</v>
      </c>
      <c r="AW60" s="168">
        <f t="shared" si="19"/>
        <v>0</v>
      </c>
      <c r="AX60" s="168">
        <f t="shared" si="19"/>
        <v>0</v>
      </c>
      <c r="AY60" s="168">
        <f t="shared" si="19"/>
        <v>0</v>
      </c>
      <c r="AZ60" s="168">
        <f t="shared" si="19"/>
        <v>0</v>
      </c>
      <c r="BA60" s="166">
        <f t="shared" si="19"/>
        <v>0</v>
      </c>
    </row>
    <row r="61" spans="1:54" outlineLevel="1">
      <c r="A61" s="127" t="s">
        <v>27</v>
      </c>
      <c r="B61" s="238" t="s">
        <v>27</v>
      </c>
      <c r="C61" s="162" t="s">
        <v>302</v>
      </c>
      <c r="D61" s="169"/>
      <c r="E61" s="231" t="s">
        <v>544</v>
      </c>
      <c r="F61" s="167">
        <f t="shared" ref="F61:BA61" si="20">+IF(F9&lt;=Ostatni_rok_analizy,IF(F9&lt;=2021,ROUND(F60+F38+F40,2),IF(F9=2022,ROUND(F60+F38+F40+F42,2),ROUND(F60+F38+F42,2))),0)</f>
        <v>2352561.5</v>
      </c>
      <c r="G61" s="167">
        <f t="shared" si="20"/>
        <v>4353198.4800000004</v>
      </c>
      <c r="H61" s="167">
        <f t="shared" si="20"/>
        <v>3565984.06</v>
      </c>
      <c r="I61" s="167">
        <f t="shared" si="20"/>
        <v>4245842.47</v>
      </c>
      <c r="J61" s="167">
        <f t="shared" si="20"/>
        <v>7572121.6299999999</v>
      </c>
      <c r="K61" s="168">
        <f t="shared" si="20"/>
        <v>11493498.460000001</v>
      </c>
      <c r="L61" s="168">
        <f t="shared" si="20"/>
        <v>12710038</v>
      </c>
      <c r="M61" s="166">
        <f t="shared" si="20"/>
        <v>19381193.100000001</v>
      </c>
      <c r="N61" s="167">
        <f t="shared" si="20"/>
        <v>9220803</v>
      </c>
      <c r="O61" s="168">
        <f t="shared" si="20"/>
        <v>1904854</v>
      </c>
      <c r="P61" s="168">
        <f t="shared" si="20"/>
        <v>2445284</v>
      </c>
      <c r="Q61" s="168">
        <f t="shared" si="20"/>
        <v>3113533</v>
      </c>
      <c r="R61" s="168">
        <f t="shared" si="20"/>
        <v>3816905</v>
      </c>
      <c r="S61" s="168">
        <f t="shared" si="20"/>
        <v>4498543</v>
      </c>
      <c r="T61" s="168">
        <f t="shared" si="20"/>
        <v>5146159</v>
      </c>
      <c r="U61" s="168">
        <f t="shared" si="20"/>
        <v>5690393</v>
      </c>
      <c r="V61" s="168">
        <f t="shared" si="20"/>
        <v>6126926</v>
      </c>
      <c r="W61" s="168">
        <f t="shared" si="20"/>
        <v>6514120</v>
      </c>
      <c r="X61" s="168">
        <f t="shared" si="20"/>
        <v>6861826</v>
      </c>
      <c r="Y61" s="168">
        <f t="shared" si="20"/>
        <v>7165107</v>
      </c>
      <c r="Z61" s="168">
        <f t="shared" si="20"/>
        <v>0</v>
      </c>
      <c r="AA61" s="168">
        <f t="shared" si="20"/>
        <v>0</v>
      </c>
      <c r="AB61" s="168">
        <f t="shared" si="20"/>
        <v>0</v>
      </c>
      <c r="AC61" s="168">
        <f t="shared" si="20"/>
        <v>0</v>
      </c>
      <c r="AD61" s="168">
        <f t="shared" si="20"/>
        <v>0</v>
      </c>
      <c r="AE61" s="168">
        <f t="shared" si="20"/>
        <v>0</v>
      </c>
      <c r="AF61" s="168">
        <f t="shared" si="20"/>
        <v>0</v>
      </c>
      <c r="AG61" s="168">
        <f t="shared" si="20"/>
        <v>0</v>
      </c>
      <c r="AH61" s="168">
        <f t="shared" si="20"/>
        <v>0</v>
      </c>
      <c r="AI61" s="168">
        <f t="shared" si="20"/>
        <v>0</v>
      </c>
      <c r="AJ61" s="168">
        <f t="shared" si="20"/>
        <v>0</v>
      </c>
      <c r="AK61" s="168">
        <f t="shared" si="20"/>
        <v>0</v>
      </c>
      <c r="AL61" s="168">
        <f t="shared" si="20"/>
        <v>0</v>
      </c>
      <c r="AM61" s="168">
        <f t="shared" si="20"/>
        <v>0</v>
      </c>
      <c r="AN61" s="168">
        <f t="shared" si="20"/>
        <v>0</v>
      </c>
      <c r="AO61" s="168">
        <f t="shared" si="20"/>
        <v>0</v>
      </c>
      <c r="AP61" s="168">
        <f t="shared" si="20"/>
        <v>0</v>
      </c>
      <c r="AQ61" s="168">
        <f t="shared" si="20"/>
        <v>0</v>
      </c>
      <c r="AR61" s="168">
        <f t="shared" si="20"/>
        <v>0</v>
      </c>
      <c r="AS61" s="168">
        <f t="shared" si="20"/>
        <v>0</v>
      </c>
      <c r="AT61" s="168">
        <f t="shared" si="20"/>
        <v>0</v>
      </c>
      <c r="AU61" s="168">
        <f t="shared" si="20"/>
        <v>0</v>
      </c>
      <c r="AV61" s="168">
        <f t="shared" si="20"/>
        <v>0</v>
      </c>
      <c r="AW61" s="168">
        <f t="shared" si="20"/>
        <v>0</v>
      </c>
      <c r="AX61" s="168">
        <f t="shared" si="20"/>
        <v>0</v>
      </c>
      <c r="AY61" s="168">
        <f t="shared" si="20"/>
        <v>0</v>
      </c>
      <c r="AZ61" s="168">
        <f t="shared" si="20"/>
        <v>0</v>
      </c>
      <c r="BA61" s="166">
        <f t="shared" si="20"/>
        <v>0</v>
      </c>
    </row>
    <row r="62" spans="1:54">
      <c r="A62" s="127" t="s">
        <v>27</v>
      </c>
      <c r="B62" s="238" t="s">
        <v>27</v>
      </c>
      <c r="C62" s="170">
        <v>8</v>
      </c>
      <c r="D62" s="169"/>
      <c r="E62" s="215" t="s">
        <v>65</v>
      </c>
      <c r="F62" s="180" t="s">
        <v>27</v>
      </c>
      <c r="G62" s="180" t="s">
        <v>27</v>
      </c>
      <c r="H62" s="180" t="s">
        <v>27</v>
      </c>
      <c r="I62" s="180" t="s">
        <v>27</v>
      </c>
      <c r="J62" s="180" t="s">
        <v>27</v>
      </c>
      <c r="K62" s="181" t="s">
        <v>27</v>
      </c>
      <c r="L62" s="181" t="s">
        <v>27</v>
      </c>
      <c r="M62" s="182" t="s">
        <v>27</v>
      </c>
      <c r="N62" s="180" t="s">
        <v>27</v>
      </c>
      <c r="O62" s="181" t="s">
        <v>27</v>
      </c>
      <c r="P62" s="181" t="s">
        <v>27</v>
      </c>
      <c r="Q62" s="181" t="s">
        <v>27</v>
      </c>
      <c r="R62" s="181" t="s">
        <v>27</v>
      </c>
      <c r="S62" s="181" t="s">
        <v>27</v>
      </c>
      <c r="T62" s="181" t="s">
        <v>27</v>
      </c>
      <c r="U62" s="181" t="s">
        <v>27</v>
      </c>
      <c r="V62" s="181" t="s">
        <v>27</v>
      </c>
      <c r="W62" s="181" t="s">
        <v>27</v>
      </c>
      <c r="X62" s="181" t="s">
        <v>27</v>
      </c>
      <c r="Y62" s="181" t="s">
        <v>27</v>
      </c>
      <c r="Z62" s="181" t="s">
        <v>27</v>
      </c>
      <c r="AA62" s="181" t="s">
        <v>27</v>
      </c>
      <c r="AB62" s="181" t="s">
        <v>27</v>
      </c>
      <c r="AC62" s="181" t="s">
        <v>27</v>
      </c>
      <c r="AD62" s="181" t="s">
        <v>27</v>
      </c>
      <c r="AE62" s="181" t="s">
        <v>27</v>
      </c>
      <c r="AF62" s="181" t="s">
        <v>27</v>
      </c>
      <c r="AG62" s="181" t="s">
        <v>27</v>
      </c>
      <c r="AH62" s="181" t="s">
        <v>27</v>
      </c>
      <c r="AI62" s="181" t="s">
        <v>27</v>
      </c>
      <c r="AJ62" s="181" t="s">
        <v>27</v>
      </c>
      <c r="AK62" s="181" t="s">
        <v>27</v>
      </c>
      <c r="AL62" s="181" t="s">
        <v>27</v>
      </c>
      <c r="AM62" s="181" t="s">
        <v>27</v>
      </c>
      <c r="AN62" s="181" t="s">
        <v>27</v>
      </c>
      <c r="AO62" s="181" t="s">
        <v>27</v>
      </c>
      <c r="AP62" s="181" t="s">
        <v>27</v>
      </c>
      <c r="AQ62" s="181" t="s">
        <v>27</v>
      </c>
      <c r="AR62" s="181" t="s">
        <v>27</v>
      </c>
      <c r="AS62" s="181" t="s">
        <v>27</v>
      </c>
      <c r="AT62" s="181" t="s">
        <v>27</v>
      </c>
      <c r="AU62" s="181" t="s">
        <v>27</v>
      </c>
      <c r="AV62" s="181" t="s">
        <v>27</v>
      </c>
      <c r="AW62" s="181" t="s">
        <v>27</v>
      </c>
      <c r="AX62" s="181" t="s">
        <v>27</v>
      </c>
      <c r="AY62" s="181" t="s">
        <v>27</v>
      </c>
      <c r="AZ62" s="181" t="s">
        <v>27</v>
      </c>
      <c r="BA62" s="182" t="s">
        <v>27</v>
      </c>
    </row>
    <row r="63" spans="1:54" ht="40.5" outlineLevel="1">
      <c r="A63" s="127" t="s">
        <v>27</v>
      </c>
      <c r="B63" s="238" t="s">
        <v>27</v>
      </c>
      <c r="C63" s="162" t="s">
        <v>63</v>
      </c>
      <c r="D63" s="169" t="s">
        <v>368</v>
      </c>
      <c r="E63" s="231" t="s">
        <v>332</v>
      </c>
      <c r="F63" s="180" t="s">
        <v>27</v>
      </c>
      <c r="G63" s="180" t="s">
        <v>27</v>
      </c>
      <c r="H63" s="180" t="s">
        <v>27</v>
      </c>
      <c r="I63" s="180" t="s">
        <v>27</v>
      </c>
      <c r="J63" s="180" t="s">
        <v>27</v>
      </c>
      <c r="K63" s="181" t="s">
        <v>27</v>
      </c>
      <c r="L63" s="181" t="s">
        <v>27</v>
      </c>
      <c r="M63" s="182" t="s">
        <v>27</v>
      </c>
      <c r="N63" s="183">
        <f t="shared" ref="N63:S63" si="21">+IF(N9&lt;=Ostatni_rok_analizy,IF(N9&lt;=2025,N64,N65),0)</f>
        <v>9.7999999999999997E-3</v>
      </c>
      <c r="O63" s="184">
        <f t="shared" si="21"/>
        <v>6.83E-2</v>
      </c>
      <c r="P63" s="184">
        <f t="shared" si="21"/>
        <v>6.2199999999999998E-2</v>
      </c>
      <c r="Q63" s="184">
        <f t="shared" si="21"/>
        <v>6.0699999999999997E-2</v>
      </c>
      <c r="R63" s="184">
        <f t="shared" si="21"/>
        <v>5.7099999999999998E-2</v>
      </c>
      <c r="S63" s="184">
        <f t="shared" si="21"/>
        <v>5.3699999999999998E-2</v>
      </c>
      <c r="T63" s="184">
        <f t="shared" ref="T63:BA63" si="22">+IF(T9&lt;=Ostatni_rok_analizy,IF(T9&lt;=2025,T64,T65),0)</f>
        <v>3.95E-2</v>
      </c>
      <c r="U63" s="184">
        <f t="shared" si="22"/>
        <v>3.7400000000000003E-2</v>
      </c>
      <c r="V63" s="184">
        <f t="shared" si="22"/>
        <v>3.5499999999999997E-2</v>
      </c>
      <c r="W63" s="184">
        <f t="shared" si="22"/>
        <v>3.3799999999999997E-2</v>
      </c>
      <c r="X63" s="184">
        <f t="shared" si="22"/>
        <v>3.6999999999999998E-2</v>
      </c>
      <c r="Y63" s="184">
        <f t="shared" si="22"/>
        <v>3.4799999999999998E-2</v>
      </c>
      <c r="Z63" s="184">
        <f t="shared" si="22"/>
        <v>0</v>
      </c>
      <c r="AA63" s="184">
        <f t="shared" si="22"/>
        <v>0</v>
      </c>
      <c r="AB63" s="184">
        <f t="shared" si="22"/>
        <v>0</v>
      </c>
      <c r="AC63" s="184">
        <f t="shared" si="22"/>
        <v>0</v>
      </c>
      <c r="AD63" s="184">
        <f t="shared" si="22"/>
        <v>0</v>
      </c>
      <c r="AE63" s="184">
        <f t="shared" si="22"/>
        <v>0</v>
      </c>
      <c r="AF63" s="184">
        <f t="shared" si="22"/>
        <v>0</v>
      </c>
      <c r="AG63" s="184">
        <f t="shared" si="22"/>
        <v>0</v>
      </c>
      <c r="AH63" s="184">
        <f t="shared" si="22"/>
        <v>0</v>
      </c>
      <c r="AI63" s="184">
        <f t="shared" si="22"/>
        <v>0</v>
      </c>
      <c r="AJ63" s="184">
        <f t="shared" si="22"/>
        <v>0</v>
      </c>
      <c r="AK63" s="184">
        <f t="shared" si="22"/>
        <v>0</v>
      </c>
      <c r="AL63" s="184">
        <f t="shared" si="22"/>
        <v>0</v>
      </c>
      <c r="AM63" s="184">
        <f t="shared" si="22"/>
        <v>0</v>
      </c>
      <c r="AN63" s="184">
        <f t="shared" si="22"/>
        <v>0</v>
      </c>
      <c r="AO63" s="184">
        <f t="shared" si="22"/>
        <v>0</v>
      </c>
      <c r="AP63" s="184">
        <f t="shared" si="22"/>
        <v>0</v>
      </c>
      <c r="AQ63" s="184">
        <f t="shared" si="22"/>
        <v>0</v>
      </c>
      <c r="AR63" s="184">
        <f t="shared" si="22"/>
        <v>0</v>
      </c>
      <c r="AS63" s="184">
        <f t="shared" si="22"/>
        <v>0</v>
      </c>
      <c r="AT63" s="184">
        <f t="shared" si="22"/>
        <v>0</v>
      </c>
      <c r="AU63" s="184">
        <f t="shared" si="22"/>
        <v>0</v>
      </c>
      <c r="AV63" s="184">
        <f t="shared" si="22"/>
        <v>0</v>
      </c>
      <c r="AW63" s="184">
        <f t="shared" si="22"/>
        <v>0</v>
      </c>
      <c r="AX63" s="184">
        <f t="shared" si="22"/>
        <v>0</v>
      </c>
      <c r="AY63" s="184">
        <f t="shared" si="22"/>
        <v>0</v>
      </c>
      <c r="AZ63" s="184">
        <f t="shared" si="22"/>
        <v>0</v>
      </c>
      <c r="BA63" s="185">
        <f t="shared" si="22"/>
        <v>0</v>
      </c>
    </row>
    <row r="64" spans="1:54" outlineLevel="5">
      <c r="A64" s="127" t="s">
        <v>27</v>
      </c>
      <c r="C64" s="162" t="s">
        <v>277</v>
      </c>
      <c r="D64" s="169" t="s">
        <v>656</v>
      </c>
      <c r="E64" s="213" t="s">
        <v>277</v>
      </c>
      <c r="F64" s="180" t="s">
        <v>27</v>
      </c>
      <c r="G64" s="180" t="s">
        <v>27</v>
      </c>
      <c r="H64" s="180" t="s">
        <v>27</v>
      </c>
      <c r="I64" s="180" t="s">
        <v>27</v>
      </c>
      <c r="J64" s="180" t="s">
        <v>27</v>
      </c>
      <c r="K64" s="181" t="s">
        <v>27</v>
      </c>
      <c r="L64" s="181" t="s">
        <v>27</v>
      </c>
      <c r="M64" s="182" t="s">
        <v>27</v>
      </c>
      <c r="N64" s="183">
        <f>+IF(N$9&lt;=Ostatni_rok_analizy,IF(N$9&lt;=2025,IF((N11-N15-N111)=0,0,ROUND((N47-N48+(N102-N106)+(N24-N25)+(N26-(N27+N28+N29))+N96)/(N11-N15-N111),4)),0),0)</f>
        <v>9.7999999999999997E-3</v>
      </c>
      <c r="O64" s="184">
        <f t="shared" ref="O64:BA64" si="23">+IF(O9&lt;=Ostatni_rok_analizy,IF(O9&lt;=2025,IF((O11-O15-O111)=0,0,ROUND((O47-O48+(O102-O106)+(O24-O25)+(O26-(O27+O28+O29))+O96)/(O11-O15-O111),4)),0),0)</f>
        <v>6.83E-2</v>
      </c>
      <c r="P64" s="184">
        <f t="shared" si="23"/>
        <v>6.2199999999999998E-2</v>
      </c>
      <c r="Q64" s="184">
        <f t="shared" si="23"/>
        <v>6.0699999999999997E-2</v>
      </c>
      <c r="R64" s="184">
        <f t="shared" si="23"/>
        <v>0</v>
      </c>
      <c r="S64" s="184">
        <f t="shared" si="23"/>
        <v>0</v>
      </c>
      <c r="T64" s="184">
        <f t="shared" si="23"/>
        <v>0</v>
      </c>
      <c r="U64" s="184">
        <f t="shared" si="23"/>
        <v>0</v>
      </c>
      <c r="V64" s="184">
        <f t="shared" si="23"/>
        <v>0</v>
      </c>
      <c r="W64" s="184">
        <f t="shared" si="23"/>
        <v>0</v>
      </c>
      <c r="X64" s="184">
        <f t="shared" si="23"/>
        <v>0</v>
      </c>
      <c r="Y64" s="184">
        <f t="shared" si="23"/>
        <v>0</v>
      </c>
      <c r="Z64" s="184">
        <f t="shared" si="23"/>
        <v>0</v>
      </c>
      <c r="AA64" s="184">
        <f t="shared" si="23"/>
        <v>0</v>
      </c>
      <c r="AB64" s="184">
        <f t="shared" si="23"/>
        <v>0</v>
      </c>
      <c r="AC64" s="184">
        <f t="shared" si="23"/>
        <v>0</v>
      </c>
      <c r="AD64" s="184">
        <f t="shared" si="23"/>
        <v>0</v>
      </c>
      <c r="AE64" s="184">
        <f t="shared" si="23"/>
        <v>0</v>
      </c>
      <c r="AF64" s="184">
        <f t="shared" si="23"/>
        <v>0</v>
      </c>
      <c r="AG64" s="184">
        <f t="shared" si="23"/>
        <v>0</v>
      </c>
      <c r="AH64" s="184">
        <f t="shared" si="23"/>
        <v>0</v>
      </c>
      <c r="AI64" s="184">
        <f t="shared" si="23"/>
        <v>0</v>
      </c>
      <c r="AJ64" s="184">
        <f t="shared" si="23"/>
        <v>0</v>
      </c>
      <c r="AK64" s="184">
        <f t="shared" si="23"/>
        <v>0</v>
      </c>
      <c r="AL64" s="184">
        <f t="shared" si="23"/>
        <v>0</v>
      </c>
      <c r="AM64" s="184">
        <f t="shared" si="23"/>
        <v>0</v>
      </c>
      <c r="AN64" s="184">
        <f t="shared" si="23"/>
        <v>0</v>
      </c>
      <c r="AO64" s="184">
        <f t="shared" si="23"/>
        <v>0</v>
      </c>
      <c r="AP64" s="184">
        <f t="shared" si="23"/>
        <v>0</v>
      </c>
      <c r="AQ64" s="184">
        <f t="shared" si="23"/>
        <v>0</v>
      </c>
      <c r="AR64" s="184">
        <f t="shared" si="23"/>
        <v>0</v>
      </c>
      <c r="AS64" s="184">
        <f t="shared" si="23"/>
        <v>0</v>
      </c>
      <c r="AT64" s="184">
        <f t="shared" si="23"/>
        <v>0</v>
      </c>
      <c r="AU64" s="184">
        <f t="shared" si="23"/>
        <v>0</v>
      </c>
      <c r="AV64" s="184">
        <f t="shared" si="23"/>
        <v>0</v>
      </c>
      <c r="AW64" s="184">
        <f t="shared" si="23"/>
        <v>0</v>
      </c>
      <c r="AX64" s="184">
        <f t="shared" si="23"/>
        <v>0</v>
      </c>
      <c r="AY64" s="184">
        <f t="shared" si="23"/>
        <v>0</v>
      </c>
      <c r="AZ64" s="184">
        <f t="shared" si="23"/>
        <v>0</v>
      </c>
      <c r="BA64" s="185">
        <f t="shared" si="23"/>
        <v>0</v>
      </c>
    </row>
    <row r="65" spans="1:54" ht="15" outlineLevel="5">
      <c r="A65" s="127" t="s">
        <v>27</v>
      </c>
      <c r="C65" s="162" t="s">
        <v>278</v>
      </c>
      <c r="D65" s="169" t="s">
        <v>656</v>
      </c>
      <c r="E65" s="213" t="s">
        <v>278</v>
      </c>
      <c r="F65" s="180" t="s">
        <v>27</v>
      </c>
      <c r="G65" s="180" t="s">
        <v>27</v>
      </c>
      <c r="H65" s="180" t="s">
        <v>27</v>
      </c>
      <c r="I65" s="180" t="s">
        <v>27</v>
      </c>
      <c r="J65" s="180" t="s">
        <v>27</v>
      </c>
      <c r="K65" s="181" t="s">
        <v>27</v>
      </c>
      <c r="L65" s="181" t="s">
        <v>27</v>
      </c>
      <c r="M65" s="182" t="s">
        <v>27</v>
      </c>
      <c r="N65" s="183">
        <f t="shared" ref="N65:BA65" si="24">+IF(N9&lt;=Ostatni_rok_analizy,IF(N9&gt;=2026,IF((N11-N15-N111)=0,0,ROUND((N47-N48+(N102-N106)+(N24-N25)+(N26-(N27+N28+N29))+N96)/(N11-N15-N111),4)),0),0)</f>
        <v>0</v>
      </c>
      <c r="O65" s="184">
        <f t="shared" si="24"/>
        <v>0</v>
      </c>
      <c r="P65" s="184">
        <f t="shared" si="24"/>
        <v>0</v>
      </c>
      <c r="Q65" s="184">
        <f t="shared" si="24"/>
        <v>0</v>
      </c>
      <c r="R65" s="184">
        <f t="shared" si="24"/>
        <v>5.7099999999999998E-2</v>
      </c>
      <c r="S65" s="184">
        <f t="shared" si="24"/>
        <v>5.3699999999999998E-2</v>
      </c>
      <c r="T65" s="184">
        <f t="shared" si="24"/>
        <v>3.95E-2</v>
      </c>
      <c r="U65" s="184">
        <f t="shared" si="24"/>
        <v>3.7400000000000003E-2</v>
      </c>
      <c r="V65" s="184">
        <f t="shared" si="24"/>
        <v>3.5499999999999997E-2</v>
      </c>
      <c r="W65" s="184">
        <f t="shared" si="24"/>
        <v>3.3799999999999997E-2</v>
      </c>
      <c r="X65" s="184">
        <f t="shared" si="24"/>
        <v>3.6999999999999998E-2</v>
      </c>
      <c r="Y65" s="184">
        <f t="shared" si="24"/>
        <v>3.4799999999999998E-2</v>
      </c>
      <c r="Z65" s="184">
        <f t="shared" si="24"/>
        <v>0</v>
      </c>
      <c r="AA65" s="184">
        <f t="shared" si="24"/>
        <v>0</v>
      </c>
      <c r="AB65" s="184">
        <f t="shared" si="24"/>
        <v>0</v>
      </c>
      <c r="AC65" s="184">
        <f t="shared" si="24"/>
        <v>0</v>
      </c>
      <c r="AD65" s="184">
        <f t="shared" si="24"/>
        <v>0</v>
      </c>
      <c r="AE65" s="184">
        <f t="shared" si="24"/>
        <v>0</v>
      </c>
      <c r="AF65" s="184">
        <f t="shared" si="24"/>
        <v>0</v>
      </c>
      <c r="AG65" s="184">
        <f t="shared" si="24"/>
        <v>0</v>
      </c>
      <c r="AH65" s="184">
        <f t="shared" si="24"/>
        <v>0</v>
      </c>
      <c r="AI65" s="184">
        <f t="shared" si="24"/>
        <v>0</v>
      </c>
      <c r="AJ65" s="184">
        <f t="shared" si="24"/>
        <v>0</v>
      </c>
      <c r="AK65" s="184">
        <f t="shared" si="24"/>
        <v>0</v>
      </c>
      <c r="AL65" s="184">
        <f t="shared" si="24"/>
        <v>0</v>
      </c>
      <c r="AM65" s="184">
        <f t="shared" si="24"/>
        <v>0</v>
      </c>
      <c r="AN65" s="184">
        <f t="shared" si="24"/>
        <v>0</v>
      </c>
      <c r="AO65" s="184">
        <f t="shared" si="24"/>
        <v>0</v>
      </c>
      <c r="AP65" s="184">
        <f t="shared" si="24"/>
        <v>0</v>
      </c>
      <c r="AQ65" s="184">
        <f t="shared" si="24"/>
        <v>0</v>
      </c>
      <c r="AR65" s="184">
        <f t="shared" si="24"/>
        <v>0</v>
      </c>
      <c r="AS65" s="184">
        <f t="shared" si="24"/>
        <v>0</v>
      </c>
      <c r="AT65" s="184">
        <f t="shared" si="24"/>
        <v>0</v>
      </c>
      <c r="AU65" s="184">
        <f t="shared" si="24"/>
        <v>0</v>
      </c>
      <c r="AV65" s="184">
        <f t="shared" si="24"/>
        <v>0</v>
      </c>
      <c r="AW65" s="184">
        <f t="shared" si="24"/>
        <v>0</v>
      </c>
      <c r="AX65" s="184">
        <f t="shared" si="24"/>
        <v>0</v>
      </c>
      <c r="AY65" s="184">
        <f t="shared" si="24"/>
        <v>0</v>
      </c>
      <c r="AZ65" s="184">
        <f t="shared" si="24"/>
        <v>0</v>
      </c>
      <c r="BA65" s="185">
        <f t="shared" si="24"/>
        <v>0</v>
      </c>
      <c r="BB65" s="153"/>
    </row>
    <row r="66" spans="1:54" ht="27" outlineLevel="1">
      <c r="A66" s="127" t="s">
        <v>27</v>
      </c>
      <c r="B66" s="238" t="s">
        <v>27</v>
      </c>
      <c r="C66" s="162" t="s">
        <v>64</v>
      </c>
      <c r="D66" s="169"/>
      <c r="E66" s="231" t="s">
        <v>543</v>
      </c>
      <c r="F66" s="183">
        <f t="shared" ref="F66:M66" si="25">+F68</f>
        <v>0.1115</v>
      </c>
      <c r="G66" s="183">
        <f t="shared" si="25"/>
        <v>0.17399999999999999</v>
      </c>
      <c r="H66" s="183">
        <f t="shared" si="25"/>
        <v>0.13850000000000001</v>
      </c>
      <c r="I66" s="183">
        <f t="shared" si="25"/>
        <v>0.14749999999999999</v>
      </c>
      <c r="J66" s="183">
        <f t="shared" si="25"/>
        <v>0.18559999999999999</v>
      </c>
      <c r="K66" s="183">
        <f t="shared" si="25"/>
        <v>0.1474</v>
      </c>
      <c r="L66" s="183">
        <f t="shared" si="25"/>
        <v>7.9500000000000001E-2</v>
      </c>
      <c r="M66" s="185">
        <f t="shared" si="25"/>
        <v>0.19850000000000001</v>
      </c>
      <c r="N66" s="183">
        <f t="shared" ref="N66:S66" si="26">+IF(N9&lt;=Ostatni_rok_analizy,N68,0)</f>
        <v>5.0299999999999997E-2</v>
      </c>
      <c r="O66" s="184">
        <f t="shared" si="26"/>
        <v>7.6899999999999996E-2</v>
      </c>
      <c r="P66" s="184">
        <f t="shared" si="26"/>
        <v>7.5800000000000006E-2</v>
      </c>
      <c r="Q66" s="184">
        <f t="shared" si="26"/>
        <v>8.8300000000000003E-2</v>
      </c>
      <c r="R66" s="184">
        <f t="shared" si="26"/>
        <v>0.1007</v>
      </c>
      <c r="S66" s="184">
        <f t="shared" si="26"/>
        <v>0.11169999999999999</v>
      </c>
      <c r="T66" s="184">
        <f t="shared" ref="T66:BA66" si="27">+IF(T9&lt;=Ostatni_rok_analizy,T68,0)</f>
        <v>0.1215</v>
      </c>
      <c r="U66" s="184">
        <f t="shared" si="27"/>
        <v>0.12870000000000001</v>
      </c>
      <c r="V66" s="184">
        <f t="shared" si="27"/>
        <v>0.13350000000000001</v>
      </c>
      <c r="W66" s="184">
        <f t="shared" si="27"/>
        <v>0.1371</v>
      </c>
      <c r="X66" s="184">
        <f t="shared" si="27"/>
        <v>0.13950000000000001</v>
      </c>
      <c r="Y66" s="184">
        <f t="shared" si="27"/>
        <v>0.14069999999999999</v>
      </c>
      <c r="Z66" s="184">
        <f t="shared" si="27"/>
        <v>0</v>
      </c>
      <c r="AA66" s="184">
        <f t="shared" si="27"/>
        <v>0</v>
      </c>
      <c r="AB66" s="184">
        <f t="shared" si="27"/>
        <v>0</v>
      </c>
      <c r="AC66" s="184">
        <f t="shared" si="27"/>
        <v>0</v>
      </c>
      <c r="AD66" s="184">
        <f t="shared" si="27"/>
        <v>0</v>
      </c>
      <c r="AE66" s="184">
        <f t="shared" si="27"/>
        <v>0</v>
      </c>
      <c r="AF66" s="184">
        <f t="shared" si="27"/>
        <v>0</v>
      </c>
      <c r="AG66" s="184">
        <f t="shared" si="27"/>
        <v>0</v>
      </c>
      <c r="AH66" s="184">
        <f t="shared" si="27"/>
        <v>0</v>
      </c>
      <c r="AI66" s="184">
        <f t="shared" si="27"/>
        <v>0</v>
      </c>
      <c r="AJ66" s="184">
        <f t="shared" si="27"/>
        <v>0</v>
      </c>
      <c r="AK66" s="184">
        <f t="shared" si="27"/>
        <v>0</v>
      </c>
      <c r="AL66" s="184">
        <f t="shared" si="27"/>
        <v>0</v>
      </c>
      <c r="AM66" s="184">
        <f t="shared" si="27"/>
        <v>0</v>
      </c>
      <c r="AN66" s="184">
        <f t="shared" si="27"/>
        <v>0</v>
      </c>
      <c r="AO66" s="184">
        <f t="shared" si="27"/>
        <v>0</v>
      </c>
      <c r="AP66" s="184">
        <f t="shared" si="27"/>
        <v>0</v>
      </c>
      <c r="AQ66" s="184">
        <f t="shared" si="27"/>
        <v>0</v>
      </c>
      <c r="AR66" s="184">
        <f t="shared" si="27"/>
        <v>0</v>
      </c>
      <c r="AS66" s="184">
        <f t="shared" si="27"/>
        <v>0</v>
      </c>
      <c r="AT66" s="184">
        <f t="shared" si="27"/>
        <v>0</v>
      </c>
      <c r="AU66" s="184">
        <f t="shared" si="27"/>
        <v>0</v>
      </c>
      <c r="AV66" s="184">
        <f t="shared" si="27"/>
        <v>0</v>
      </c>
      <c r="AW66" s="184">
        <f t="shared" si="27"/>
        <v>0</v>
      </c>
      <c r="AX66" s="184">
        <f t="shared" si="27"/>
        <v>0</v>
      </c>
      <c r="AY66" s="184">
        <f t="shared" si="27"/>
        <v>0</v>
      </c>
      <c r="AZ66" s="184">
        <f t="shared" si="27"/>
        <v>0</v>
      </c>
      <c r="BA66" s="185">
        <f t="shared" si="27"/>
        <v>0</v>
      </c>
    </row>
    <row r="67" spans="1:54" ht="15" outlineLevel="5">
      <c r="A67" s="127" t="s">
        <v>27</v>
      </c>
      <c r="C67" s="162" t="s">
        <v>279</v>
      </c>
      <c r="D67" s="169" t="s">
        <v>657</v>
      </c>
      <c r="E67" s="213" t="s">
        <v>279</v>
      </c>
      <c r="F67" s="183">
        <f>+IF((F11-F15-F111)=0,0,ROUND(((F11-F79-F111)-(F22-F85-F103-F26-F108)+F19)/(F11-F15-F111),4))</f>
        <v>0.114</v>
      </c>
      <c r="G67" s="183">
        <f>+IF((G11-G15-G111)=0,0,ROUND(((G11-G79-G111)-(G22-G85-G103-G26-G108)+G19)/(G11-G15-G111),4))</f>
        <v>0.1769</v>
      </c>
      <c r="H67" s="183">
        <f>+IF((H11-H15-H111)=0,0,ROUND(((H11-H79-H111)-(H22-H85-H103-H26-H108)+H19)/(H11-H15-H111),4))</f>
        <v>0.1404</v>
      </c>
      <c r="I67" s="183">
        <f>+IF((I11-I15-I111)=0,0,ROUND(((I11-I79-I111)-(I22-I85-I103-I26-I108)+I19)/(I11-I15-I111),4))</f>
        <v>0.19009999999999999</v>
      </c>
      <c r="J67" s="183">
        <f>+IF((J11-J15-J111)=0,0,ROUND(((J11-J79-J111)-(J22-J85-J103-J26-J108)+J19)/(J11-J15-J111),4))</f>
        <v>0.1867</v>
      </c>
      <c r="K67" s="183">
        <f t="shared" ref="K67:BA67" si="28">+IF((K11-K15-K111)=0,0,ROUND(((K11-K79-K111)-(K22-K85-K103-K26-K108)+K19)/(K11-K15-K111),4))</f>
        <v>0.14860000000000001</v>
      </c>
      <c r="L67" s="183">
        <f t="shared" si="28"/>
        <v>8.0299999999999996E-2</v>
      </c>
      <c r="M67" s="185">
        <f t="shared" si="28"/>
        <v>0.28129999999999999</v>
      </c>
      <c r="N67" s="183">
        <f t="shared" si="28"/>
        <v>5.11E-2</v>
      </c>
      <c r="O67" s="184">
        <f t="shared" si="28"/>
        <v>7.6899999999999996E-2</v>
      </c>
      <c r="P67" s="184">
        <f t="shared" si="28"/>
        <v>7.5800000000000006E-2</v>
      </c>
      <c r="Q67" s="184">
        <f t="shared" si="28"/>
        <v>8.8300000000000003E-2</v>
      </c>
      <c r="R67" s="184">
        <f t="shared" si="28"/>
        <v>0.1007</v>
      </c>
      <c r="S67" s="184">
        <f t="shared" si="28"/>
        <v>0.11169999999999999</v>
      </c>
      <c r="T67" s="184">
        <f t="shared" si="28"/>
        <v>0.1215</v>
      </c>
      <c r="U67" s="184">
        <f t="shared" si="28"/>
        <v>0.12870000000000001</v>
      </c>
      <c r="V67" s="184">
        <f t="shared" si="28"/>
        <v>0.13350000000000001</v>
      </c>
      <c r="W67" s="184">
        <f t="shared" si="28"/>
        <v>0.1371</v>
      </c>
      <c r="X67" s="184">
        <f t="shared" si="28"/>
        <v>0.13950000000000001</v>
      </c>
      <c r="Y67" s="184">
        <f t="shared" si="28"/>
        <v>0.14069999999999999</v>
      </c>
      <c r="Z67" s="184">
        <f t="shared" si="28"/>
        <v>0</v>
      </c>
      <c r="AA67" s="184">
        <f t="shared" si="28"/>
        <v>0</v>
      </c>
      <c r="AB67" s="184">
        <f t="shared" si="28"/>
        <v>0</v>
      </c>
      <c r="AC67" s="184">
        <f t="shared" si="28"/>
        <v>0</v>
      </c>
      <c r="AD67" s="184">
        <f t="shared" si="28"/>
        <v>0</v>
      </c>
      <c r="AE67" s="184">
        <f t="shared" si="28"/>
        <v>0</v>
      </c>
      <c r="AF67" s="184">
        <f t="shared" si="28"/>
        <v>0</v>
      </c>
      <c r="AG67" s="184">
        <f t="shared" si="28"/>
        <v>0</v>
      </c>
      <c r="AH67" s="184">
        <f t="shared" si="28"/>
        <v>0</v>
      </c>
      <c r="AI67" s="184">
        <f t="shared" si="28"/>
        <v>0</v>
      </c>
      <c r="AJ67" s="184">
        <f t="shared" si="28"/>
        <v>0</v>
      </c>
      <c r="AK67" s="184">
        <f t="shared" si="28"/>
        <v>0</v>
      </c>
      <c r="AL67" s="184">
        <f t="shared" si="28"/>
        <v>0</v>
      </c>
      <c r="AM67" s="184">
        <f t="shared" si="28"/>
        <v>0</v>
      </c>
      <c r="AN67" s="184">
        <f t="shared" si="28"/>
        <v>0</v>
      </c>
      <c r="AO67" s="184">
        <f t="shared" si="28"/>
        <v>0</v>
      </c>
      <c r="AP67" s="184">
        <f t="shared" si="28"/>
        <v>0</v>
      </c>
      <c r="AQ67" s="184">
        <f t="shared" si="28"/>
        <v>0</v>
      </c>
      <c r="AR67" s="184">
        <f t="shared" si="28"/>
        <v>0</v>
      </c>
      <c r="AS67" s="184">
        <f t="shared" si="28"/>
        <v>0</v>
      </c>
      <c r="AT67" s="184">
        <f t="shared" si="28"/>
        <v>0</v>
      </c>
      <c r="AU67" s="184">
        <f t="shared" si="28"/>
        <v>0</v>
      </c>
      <c r="AV67" s="184">
        <f t="shared" si="28"/>
        <v>0</v>
      </c>
      <c r="AW67" s="184">
        <f t="shared" si="28"/>
        <v>0</v>
      </c>
      <c r="AX67" s="184">
        <f t="shared" si="28"/>
        <v>0</v>
      </c>
      <c r="AY67" s="184">
        <f t="shared" si="28"/>
        <v>0</v>
      </c>
      <c r="AZ67" s="184">
        <f t="shared" si="28"/>
        <v>0</v>
      </c>
      <c r="BA67" s="185">
        <f t="shared" si="28"/>
        <v>0</v>
      </c>
      <c r="BB67" s="153"/>
    </row>
    <row r="68" spans="1:54" outlineLevel="5">
      <c r="A68" s="127" t="s">
        <v>27</v>
      </c>
      <c r="C68" s="162" t="s">
        <v>280</v>
      </c>
      <c r="D68" s="169" t="s">
        <v>658</v>
      </c>
      <c r="E68" s="213" t="s">
        <v>280</v>
      </c>
      <c r="F68" s="183">
        <f>+IF((F11-F15-F111)=0,0,ROUND(((F11-F79-F111)-(F22-F85-F103-F26-F108))/(F11-F15-F111),4))</f>
        <v>0.1115</v>
      </c>
      <c r="G68" s="183">
        <f>+IF((G11-G15-G111)=0,0,ROUND(((G11-G79-G111)-(G22-G85-G103-G26-G108))/(G11-G15-G111),4))</f>
        <v>0.17399999999999999</v>
      </c>
      <c r="H68" s="183">
        <f>+IF((H11-H15-H111)=0,0,ROUND(((H11-H79-H111)-(H22-H85-H103-H26-H108))/(H11-H15-H111),4))</f>
        <v>0.13850000000000001</v>
      </c>
      <c r="I68" s="183">
        <f>+IF((I11-I15-I111)=0,0,ROUND(((I11-I79-I111)-(I22-I85-I103-I26-I108))/(I11-I15-I111),4))</f>
        <v>0.14749999999999999</v>
      </c>
      <c r="J68" s="183">
        <f>+IF((J11-J15-J111)=0,0,ROUND(((J11-J79-J111)-(J22-J85-J103-J26-J108))/(J11-J15-J111),4))</f>
        <v>0.18559999999999999</v>
      </c>
      <c r="K68" s="183">
        <f t="shared" ref="K68:BA68" si="29">+IF((K11-K15-K111)=0,0,ROUND(((K11-K79-K111)-(K22-K85-K103-K26-K108))/(K11-K15-K111),4))</f>
        <v>0.1474</v>
      </c>
      <c r="L68" s="183">
        <f t="shared" si="29"/>
        <v>7.9500000000000001E-2</v>
      </c>
      <c r="M68" s="185">
        <f t="shared" si="29"/>
        <v>0.19850000000000001</v>
      </c>
      <c r="N68" s="183">
        <f t="shared" si="29"/>
        <v>5.0299999999999997E-2</v>
      </c>
      <c r="O68" s="184">
        <f t="shared" si="29"/>
        <v>7.6899999999999996E-2</v>
      </c>
      <c r="P68" s="184">
        <f t="shared" si="29"/>
        <v>7.5800000000000006E-2</v>
      </c>
      <c r="Q68" s="184">
        <f t="shared" si="29"/>
        <v>8.8300000000000003E-2</v>
      </c>
      <c r="R68" s="184">
        <f t="shared" si="29"/>
        <v>0.1007</v>
      </c>
      <c r="S68" s="184">
        <f t="shared" si="29"/>
        <v>0.11169999999999999</v>
      </c>
      <c r="T68" s="184">
        <f t="shared" si="29"/>
        <v>0.1215</v>
      </c>
      <c r="U68" s="184">
        <f t="shared" si="29"/>
        <v>0.12870000000000001</v>
      </c>
      <c r="V68" s="184">
        <f t="shared" si="29"/>
        <v>0.13350000000000001</v>
      </c>
      <c r="W68" s="184">
        <f t="shared" si="29"/>
        <v>0.1371</v>
      </c>
      <c r="X68" s="184">
        <f t="shared" si="29"/>
        <v>0.13950000000000001</v>
      </c>
      <c r="Y68" s="184">
        <f t="shared" si="29"/>
        <v>0.14069999999999999</v>
      </c>
      <c r="Z68" s="184">
        <f t="shared" si="29"/>
        <v>0</v>
      </c>
      <c r="AA68" s="184">
        <f t="shared" si="29"/>
        <v>0</v>
      </c>
      <c r="AB68" s="184">
        <f t="shared" si="29"/>
        <v>0</v>
      </c>
      <c r="AC68" s="184">
        <f t="shared" si="29"/>
        <v>0</v>
      </c>
      <c r="AD68" s="184">
        <f t="shared" si="29"/>
        <v>0</v>
      </c>
      <c r="AE68" s="184">
        <f t="shared" si="29"/>
        <v>0</v>
      </c>
      <c r="AF68" s="184">
        <f t="shared" si="29"/>
        <v>0</v>
      </c>
      <c r="AG68" s="184">
        <f t="shared" si="29"/>
        <v>0</v>
      </c>
      <c r="AH68" s="184">
        <f t="shared" si="29"/>
        <v>0</v>
      </c>
      <c r="AI68" s="184">
        <f t="shared" si="29"/>
        <v>0</v>
      </c>
      <c r="AJ68" s="184">
        <f t="shared" si="29"/>
        <v>0</v>
      </c>
      <c r="AK68" s="184">
        <f t="shared" si="29"/>
        <v>0</v>
      </c>
      <c r="AL68" s="184">
        <f t="shared" si="29"/>
        <v>0</v>
      </c>
      <c r="AM68" s="184">
        <f t="shared" si="29"/>
        <v>0</v>
      </c>
      <c r="AN68" s="184">
        <f t="shared" si="29"/>
        <v>0</v>
      </c>
      <c r="AO68" s="184">
        <f t="shared" si="29"/>
        <v>0</v>
      </c>
      <c r="AP68" s="184">
        <f t="shared" si="29"/>
        <v>0</v>
      </c>
      <c r="AQ68" s="184">
        <f t="shared" si="29"/>
        <v>0</v>
      </c>
      <c r="AR68" s="184">
        <f t="shared" si="29"/>
        <v>0</v>
      </c>
      <c r="AS68" s="184">
        <f t="shared" si="29"/>
        <v>0</v>
      </c>
      <c r="AT68" s="184">
        <f t="shared" si="29"/>
        <v>0</v>
      </c>
      <c r="AU68" s="184">
        <f t="shared" si="29"/>
        <v>0</v>
      </c>
      <c r="AV68" s="184">
        <f t="shared" si="29"/>
        <v>0</v>
      </c>
      <c r="AW68" s="184">
        <f t="shared" si="29"/>
        <v>0</v>
      </c>
      <c r="AX68" s="184">
        <f t="shared" si="29"/>
        <v>0</v>
      </c>
      <c r="AY68" s="184">
        <f t="shared" si="29"/>
        <v>0</v>
      </c>
      <c r="AZ68" s="184">
        <f t="shared" si="29"/>
        <v>0</v>
      </c>
      <c r="BA68" s="185">
        <f t="shared" si="29"/>
        <v>0</v>
      </c>
    </row>
    <row r="69" spans="1:54" ht="40.5" outlineLevel="1">
      <c r="A69" s="127" t="s">
        <v>27</v>
      </c>
      <c r="B69" s="238" t="s">
        <v>27</v>
      </c>
      <c r="C69" s="162" t="s">
        <v>303</v>
      </c>
      <c r="D69" s="169" t="s">
        <v>369</v>
      </c>
      <c r="E69" s="231" t="s">
        <v>333</v>
      </c>
      <c r="F69" s="180" t="s">
        <v>27</v>
      </c>
      <c r="G69" s="180" t="s">
        <v>27</v>
      </c>
      <c r="H69" s="180" t="s">
        <v>27</v>
      </c>
      <c r="I69" s="180" t="s">
        <v>27</v>
      </c>
      <c r="J69" s="180" t="s">
        <v>27</v>
      </c>
      <c r="K69" s="181" t="s">
        <v>27</v>
      </c>
      <c r="L69" s="181" t="s">
        <v>27</v>
      </c>
      <c r="M69" s="182" t="s">
        <v>27</v>
      </c>
      <c r="N69" s="184">
        <f>+IF(N$9&lt;=Ostatni_rok_analizy,IF(Srednia=0,ObliczSrednie!N7,ObliczSrednie!N4),0)</f>
        <v>0.14810000000000001</v>
      </c>
      <c r="O69" s="184">
        <f>+IF(O$9&lt;=Ostatni_rok_analizy,IF(Srednia=0,ObliczSrednie!O7,ObliczSrednie!O4),0)</f>
        <v>0.13919999999999999</v>
      </c>
      <c r="P69" s="184">
        <f>+IF(P$9&lt;=Ostatni_rok_analizy,IF(Srednia=0,ObliczSrednie!P7,ObliczSrednie!P4),0)</f>
        <v>0.1249</v>
      </c>
      <c r="Q69" s="184">
        <f>+IF(Q$9&lt;=Ostatni_rok_analizy,IF(Srednia=0,ObliczSrednie!Q7,ObliczSrednie!Q4),0)</f>
        <v>0.11559999999999999</v>
      </c>
      <c r="R69" s="184">
        <f>+IF(R$9&lt;=Ostatni_rok_analizy,IF(Srednia=0,ObliczSrednie!R7,ObliczSrednie!R4),0)</f>
        <v>0.10050000000000001</v>
      </c>
      <c r="S69" s="184">
        <f>+IF(S$9&lt;=Ostatni_rok_analizy,IF(Srednia=0,ObliczSrednie!S7,ObliczSrednie!S4),0)</f>
        <v>8.8400000000000006E-2</v>
      </c>
      <c r="T69" s="184">
        <f>+IF(T$9&lt;=Ostatni_rok_analizy,IF(Srednia=0,ObliczSrednie!T7,ObliczSrednie!T4),0)</f>
        <v>8.3299999999999999E-2</v>
      </c>
      <c r="U69" s="184">
        <f>+IF(U$9&lt;=Ostatni_rok_analizy,IF(Srednia=0,ObliczSrednie!U7,ObliczSrednie!U4),0)</f>
        <v>8.9300000000000004E-2</v>
      </c>
      <c r="V69" s="184">
        <f>+IF(V$9&lt;=Ostatni_rok_analizy,IF(Srednia=0,ObliczSrednie!V7,ObliczSrednie!V4),0)</f>
        <v>0.10050000000000001</v>
      </c>
      <c r="W69" s="184">
        <f>+IF(W$9&lt;=Ostatni_rok_analizy,IF(Srednia=0,ObliczSrednie!W7,ObliczSrednie!W4),0)</f>
        <v>0.1086</v>
      </c>
      <c r="X69" s="184">
        <f>+IF(X$9&lt;=Ostatni_rok_analizy,IF(Srednia=0,ObliczSrednie!X7,ObliczSrednie!X4),0)</f>
        <v>0.1174</v>
      </c>
      <c r="Y69" s="184">
        <f>+IF(Y$9&lt;=Ostatni_rok_analizy,IF(Srednia=0,ObliczSrednie!Y7,ObliczSrednie!Y4),0)</f>
        <v>0.12470000000000001</v>
      </c>
      <c r="Z69" s="184">
        <f>+IF(Z$9&lt;=Ostatni_rok_analizy,IF(Srednia=0,ObliczSrednie!Z7,ObliczSrednie!Z4),0)</f>
        <v>0</v>
      </c>
      <c r="AA69" s="184">
        <f>+IF(AA$9&lt;=Ostatni_rok_analizy,IF(Srednia=0,ObliczSrednie!AA7,ObliczSrednie!AA4),0)</f>
        <v>0</v>
      </c>
      <c r="AB69" s="184">
        <f>+IF(AB$9&lt;=Ostatni_rok_analizy,IF(Srednia=0,ObliczSrednie!AB7,ObliczSrednie!AB4),0)</f>
        <v>0</v>
      </c>
      <c r="AC69" s="184">
        <f>+IF(AC$9&lt;=Ostatni_rok_analizy,IF(Srednia=0,ObliczSrednie!AC7,ObliczSrednie!AC4),0)</f>
        <v>0</v>
      </c>
      <c r="AD69" s="184">
        <f>+IF(AD$9&lt;=Ostatni_rok_analizy,IF(Srednia=0,ObliczSrednie!AD7,ObliczSrednie!AD4),0)</f>
        <v>0</v>
      </c>
      <c r="AE69" s="184">
        <f>+IF(AE$9&lt;=Ostatni_rok_analizy,IF(Srednia=0,ObliczSrednie!AE7,ObliczSrednie!AE4),0)</f>
        <v>0</v>
      </c>
      <c r="AF69" s="184">
        <f>+IF(AF$9&lt;=Ostatni_rok_analizy,IF(Srednia=0,ObliczSrednie!AF7,ObliczSrednie!AF4),0)</f>
        <v>0</v>
      </c>
      <c r="AG69" s="184">
        <f>+IF(AG$9&lt;=Ostatni_rok_analizy,IF(Srednia=0,ObliczSrednie!AG7,ObliczSrednie!AG4),0)</f>
        <v>0</v>
      </c>
      <c r="AH69" s="184">
        <f>+IF(AH$9&lt;=Ostatni_rok_analizy,IF(Srednia=0,ObliczSrednie!AH7,ObliczSrednie!AH4),0)</f>
        <v>0</v>
      </c>
      <c r="AI69" s="184">
        <f>+IF(AI$9&lt;=Ostatni_rok_analizy,IF(Srednia=0,ObliczSrednie!AI7,ObliczSrednie!AI4),0)</f>
        <v>0</v>
      </c>
      <c r="AJ69" s="184">
        <f>+IF(AJ$9&lt;=Ostatni_rok_analizy,IF(Srednia=0,ObliczSrednie!AJ7,ObliczSrednie!AJ4),0)</f>
        <v>0</v>
      </c>
      <c r="AK69" s="184">
        <f>+IF(AK$9&lt;=Ostatni_rok_analizy,IF(Srednia=0,ObliczSrednie!AK7,ObliczSrednie!AK4),0)</f>
        <v>0</v>
      </c>
      <c r="AL69" s="184">
        <f>+IF(AL$9&lt;=Ostatni_rok_analizy,IF(Srednia=0,ObliczSrednie!AL7,ObliczSrednie!AL4),0)</f>
        <v>0</v>
      </c>
      <c r="AM69" s="184">
        <f>+IF(AM$9&lt;=Ostatni_rok_analizy,IF(Srednia=0,ObliczSrednie!AM7,ObliczSrednie!AM4),0)</f>
        <v>0</v>
      </c>
      <c r="AN69" s="184">
        <f>+IF(AN$9&lt;=Ostatni_rok_analizy,IF(Srednia=0,ObliczSrednie!AN7,ObliczSrednie!AN4),0)</f>
        <v>0</v>
      </c>
      <c r="AO69" s="184">
        <f>+IF(AO$9&lt;=Ostatni_rok_analizy,IF(Srednia=0,ObliczSrednie!AO7,ObliczSrednie!AO4),0)</f>
        <v>0</v>
      </c>
      <c r="AP69" s="184">
        <f>+IF(AP$9&lt;=Ostatni_rok_analizy,IF(Srednia=0,ObliczSrednie!AP7,ObliczSrednie!AP4),0)</f>
        <v>0</v>
      </c>
      <c r="AQ69" s="184">
        <f>+IF(AQ$9&lt;=Ostatni_rok_analizy,IF(Srednia=0,ObliczSrednie!AQ7,ObliczSrednie!AQ4),0)</f>
        <v>0</v>
      </c>
      <c r="AR69" s="184">
        <f>+IF(AR$9&lt;=Ostatni_rok_analizy,IF(Srednia=0,ObliczSrednie!AR7,ObliczSrednie!AR4),0)</f>
        <v>0</v>
      </c>
      <c r="AS69" s="184">
        <f>+IF(AS$9&lt;=Ostatni_rok_analizy,IF(Srednia=0,ObliczSrednie!AS7,ObliczSrednie!AS4),0)</f>
        <v>0</v>
      </c>
      <c r="AT69" s="184">
        <f>+IF(AT$9&lt;=Ostatni_rok_analizy,IF(Srednia=0,ObliczSrednie!AT7,ObliczSrednie!AT4),0)</f>
        <v>0</v>
      </c>
      <c r="AU69" s="184">
        <f>+IF(AU$9&lt;=Ostatni_rok_analizy,IF(Srednia=0,ObliczSrednie!AU7,ObliczSrednie!AU4),0)</f>
        <v>0</v>
      </c>
      <c r="AV69" s="184">
        <f>+IF(AV$9&lt;=Ostatni_rok_analizy,IF(Srednia=0,ObliczSrednie!AV7,ObliczSrednie!AV4),0)</f>
        <v>0</v>
      </c>
      <c r="AW69" s="184">
        <f>+IF(AW$9&lt;=Ostatni_rok_analizy,IF(Srednia=0,ObliczSrednie!AW7,ObliczSrednie!AW4),0)</f>
        <v>0</v>
      </c>
      <c r="AX69" s="184">
        <f>+IF(AX$9&lt;=Ostatni_rok_analizy,IF(Srednia=0,ObliczSrednie!AX7,ObliczSrednie!AX4),0)</f>
        <v>0</v>
      </c>
      <c r="AY69" s="184">
        <f>+IF(AY$9&lt;=Ostatni_rok_analizy,IF(Srednia=0,ObliczSrednie!AY7,ObliczSrednie!AY4),0)</f>
        <v>0</v>
      </c>
      <c r="AZ69" s="184">
        <f>+IF(AZ$9&lt;=Ostatni_rok_analizy,IF(Srednia=0,ObliczSrednie!AZ7,ObliczSrednie!AZ4),0)</f>
        <v>0</v>
      </c>
      <c r="BA69" s="185">
        <f>+IF(BA$9&lt;=Ostatni_rok_analizy,IF(Srednia=0,ObliczSrednie!BA7,ObliczSrednie!BA4),0)</f>
        <v>0</v>
      </c>
    </row>
    <row r="70" spans="1:54" ht="40.5" outlineLevel="2">
      <c r="A70" s="127" t="s">
        <v>27</v>
      </c>
      <c r="B70" s="238" t="s">
        <v>27</v>
      </c>
      <c r="C70" s="162" t="s">
        <v>281</v>
      </c>
      <c r="D70" s="169" t="s">
        <v>370</v>
      </c>
      <c r="E70" s="213" t="s">
        <v>334</v>
      </c>
      <c r="F70" s="180" t="s">
        <v>27</v>
      </c>
      <c r="G70" s="180" t="s">
        <v>27</v>
      </c>
      <c r="H70" s="180" t="s">
        <v>27</v>
      </c>
      <c r="I70" s="180" t="s">
        <v>27</v>
      </c>
      <c r="J70" s="180" t="s">
        <v>27</v>
      </c>
      <c r="K70" s="181" t="s">
        <v>27</v>
      </c>
      <c r="L70" s="181" t="s">
        <v>27</v>
      </c>
      <c r="M70" s="182" t="s">
        <v>27</v>
      </c>
      <c r="N70" s="184">
        <f>+IF(N$9&lt;=Ostatni_rok_analizy,IF(Srednia=0,ObliczSrednie!N8,ObliczSrednie!N5),0)</f>
        <v>0.1769</v>
      </c>
      <c r="O70" s="183">
        <f>+IF(O$9&lt;=Ostatni_rok_analizy,IF(Srednia=0,ObliczSrednie!O8,ObliczSrednie!O5),0)</f>
        <v>0.16789999999999999</v>
      </c>
      <c r="P70" s="184">
        <f>+IF(P$9&lt;=Ostatni_rok_analizy,IF(Srednia=0,ObliczSrednie!P8,ObliczSrednie!P5),0)</f>
        <v>0.15359999999999999</v>
      </c>
      <c r="Q70" s="184">
        <f>+IF(Q$9&lt;=Ostatni_rok_analizy,IF(Srednia=0,ObliczSrednie!Q8,ObliczSrednie!Q5),0)</f>
        <v>0.1444</v>
      </c>
      <c r="R70" s="184">
        <f>+IF(R$9&lt;=Ostatni_rok_analizy,IF(Srednia=0,ObliczSrednie!R8,ObliczSrednie!R5),0)</f>
        <v>0.11749999999999999</v>
      </c>
      <c r="S70" s="184">
        <f>+IF(S$9&lt;=Ostatni_rok_analizy,IF(Srednia=0,ObliczSrednie!S8,ObliczSrednie!S5),0)</f>
        <v>0.10539999999999999</v>
      </c>
      <c r="T70" s="184">
        <f>+IF(T$9&lt;=Ostatni_rok_analizy,IF(Srednia=0,ObliczSrednie!T8,ObliczSrednie!T5),0)</f>
        <v>0.1003</v>
      </c>
      <c r="U70" s="184">
        <f>+IF(U$9&lt;=Ostatni_rok_analizy,IF(Srednia=0,ObliczSrednie!U8,ObliczSrednie!U5),0)</f>
        <v>8.9300000000000004E-2</v>
      </c>
      <c r="V70" s="184">
        <f>+IF(V$9&lt;=Ostatni_rok_analizy,IF(Srednia=0,ObliczSrednie!V8,ObliczSrednie!V5),0)</f>
        <v>0.10050000000000001</v>
      </c>
      <c r="W70" s="184">
        <f>+IF(W$9&lt;=Ostatni_rok_analizy,IF(Srednia=0,ObliczSrednie!W8,ObliczSrednie!W5),0)</f>
        <v>0.1086</v>
      </c>
      <c r="X70" s="184">
        <f>+IF(X$9&lt;=Ostatni_rok_analizy,IF(Srednia=0,ObliczSrednie!X8,ObliczSrednie!X5),0)</f>
        <v>0.1174</v>
      </c>
      <c r="Y70" s="184">
        <f>+IF(Y$9&lt;=Ostatni_rok_analizy,IF(Srednia=0,ObliczSrednie!Y8,ObliczSrednie!Y5),0)</f>
        <v>0.12470000000000001</v>
      </c>
      <c r="Z70" s="184">
        <f>+IF(Z$9&lt;=Ostatni_rok_analizy,IF(Srednia=0,ObliczSrednie!Z8,ObliczSrednie!Z5),0)</f>
        <v>0</v>
      </c>
      <c r="AA70" s="184">
        <f>+IF(AA$9&lt;=Ostatni_rok_analizy,IF(Srednia=0,ObliczSrednie!AA8,ObliczSrednie!AA5),0)</f>
        <v>0</v>
      </c>
      <c r="AB70" s="184">
        <f>+IF(AB$9&lt;=Ostatni_rok_analizy,IF(Srednia=0,ObliczSrednie!AB8,ObliczSrednie!AB5),0)</f>
        <v>0</v>
      </c>
      <c r="AC70" s="184">
        <f>+IF(AC$9&lt;=Ostatni_rok_analizy,IF(Srednia=0,ObliczSrednie!AC8,ObliczSrednie!AC5),0)</f>
        <v>0</v>
      </c>
      <c r="AD70" s="184">
        <f>+IF(AD$9&lt;=Ostatni_rok_analizy,IF(Srednia=0,ObliczSrednie!AD8,ObliczSrednie!AD5),0)</f>
        <v>0</v>
      </c>
      <c r="AE70" s="184">
        <f>+IF(AE$9&lt;=Ostatni_rok_analizy,IF(Srednia=0,ObliczSrednie!AE8,ObliczSrednie!AE5),0)</f>
        <v>0</v>
      </c>
      <c r="AF70" s="184">
        <f>+IF(AF$9&lt;=Ostatni_rok_analizy,IF(Srednia=0,ObliczSrednie!AF8,ObliczSrednie!AF5),0)</f>
        <v>0</v>
      </c>
      <c r="AG70" s="184">
        <f>+IF(AG$9&lt;=Ostatni_rok_analizy,IF(Srednia=0,ObliczSrednie!AG8,ObliczSrednie!AG5),0)</f>
        <v>0</v>
      </c>
      <c r="AH70" s="184">
        <f>+IF(AH$9&lt;=Ostatni_rok_analizy,IF(Srednia=0,ObliczSrednie!AH8,ObliczSrednie!AH5),0)</f>
        <v>0</v>
      </c>
      <c r="AI70" s="184">
        <f>+IF(AI$9&lt;=Ostatni_rok_analizy,IF(Srednia=0,ObliczSrednie!AI8,ObliczSrednie!AI5),0)</f>
        <v>0</v>
      </c>
      <c r="AJ70" s="184">
        <f>+IF(AJ$9&lt;=Ostatni_rok_analizy,IF(Srednia=0,ObliczSrednie!AJ8,ObliczSrednie!AJ5),0)</f>
        <v>0</v>
      </c>
      <c r="AK70" s="184">
        <f>+IF(AK$9&lt;=Ostatni_rok_analizy,IF(Srednia=0,ObliczSrednie!AK8,ObliczSrednie!AK5),0)</f>
        <v>0</v>
      </c>
      <c r="AL70" s="184">
        <f>+IF(AL$9&lt;=Ostatni_rok_analizy,IF(Srednia=0,ObliczSrednie!AL8,ObliczSrednie!AL5),0)</f>
        <v>0</v>
      </c>
      <c r="AM70" s="184">
        <f>+IF(AM$9&lt;=Ostatni_rok_analizy,IF(Srednia=0,ObliczSrednie!AM8,ObliczSrednie!AM5),0)</f>
        <v>0</v>
      </c>
      <c r="AN70" s="184">
        <f>+IF(AN$9&lt;=Ostatni_rok_analizy,IF(Srednia=0,ObliczSrednie!AN8,ObliczSrednie!AN5),0)</f>
        <v>0</v>
      </c>
      <c r="AO70" s="184">
        <f>+IF(AO$9&lt;=Ostatni_rok_analizy,IF(Srednia=0,ObliczSrednie!AO8,ObliczSrednie!AO5),0)</f>
        <v>0</v>
      </c>
      <c r="AP70" s="184">
        <f>+IF(AP$9&lt;=Ostatni_rok_analizy,IF(Srednia=0,ObliczSrednie!AP8,ObliczSrednie!AP5),0)</f>
        <v>0</v>
      </c>
      <c r="AQ70" s="184">
        <f>+IF(AQ$9&lt;=Ostatni_rok_analizy,IF(Srednia=0,ObliczSrednie!AQ8,ObliczSrednie!AQ5),0)</f>
        <v>0</v>
      </c>
      <c r="AR70" s="184">
        <f>+IF(AR$9&lt;=Ostatni_rok_analizy,IF(Srednia=0,ObliczSrednie!AR8,ObliczSrednie!AR5),0)</f>
        <v>0</v>
      </c>
      <c r="AS70" s="184">
        <f>+IF(AS$9&lt;=Ostatni_rok_analizy,IF(Srednia=0,ObliczSrednie!AS8,ObliczSrednie!AS5),0)</f>
        <v>0</v>
      </c>
      <c r="AT70" s="184">
        <f>+IF(AT$9&lt;=Ostatni_rok_analizy,IF(Srednia=0,ObliczSrednie!AT8,ObliczSrednie!AT5),0)</f>
        <v>0</v>
      </c>
      <c r="AU70" s="184">
        <f>+IF(AU$9&lt;=Ostatni_rok_analizy,IF(Srednia=0,ObliczSrednie!AU8,ObliczSrednie!AU5),0)</f>
        <v>0</v>
      </c>
      <c r="AV70" s="184">
        <f>+IF(AV$9&lt;=Ostatni_rok_analizy,IF(Srednia=0,ObliczSrednie!AV8,ObliczSrednie!AV5),0)</f>
        <v>0</v>
      </c>
      <c r="AW70" s="184">
        <f>+IF(AW$9&lt;=Ostatni_rok_analizy,IF(Srednia=0,ObliczSrednie!AW8,ObliczSrednie!AW5),0)</f>
        <v>0</v>
      </c>
      <c r="AX70" s="184">
        <f>+IF(AX$9&lt;=Ostatni_rok_analizy,IF(Srednia=0,ObliczSrednie!AX8,ObliczSrednie!AX5),0)</f>
        <v>0</v>
      </c>
      <c r="AY70" s="184">
        <f>+IF(AY$9&lt;=Ostatni_rok_analizy,IF(Srednia=0,ObliczSrednie!AY8,ObliczSrednie!AY5),0)</f>
        <v>0</v>
      </c>
      <c r="AZ70" s="184">
        <f>+IF(AZ$9&lt;=Ostatni_rok_analizy,IF(Srednia=0,ObliczSrednie!AZ8,ObliczSrednie!AZ5),0)</f>
        <v>0</v>
      </c>
      <c r="BA70" s="185">
        <f>+IF(BA$9&lt;=Ostatni_rok_analizy,IF(Srednia=0,ObliczSrednie!BA8,ObliczSrednie!BA5),0)</f>
        <v>0</v>
      </c>
    </row>
    <row r="71" spans="1:54" ht="40.5" outlineLevel="1">
      <c r="A71" s="127" t="s">
        <v>27</v>
      </c>
      <c r="B71" s="238" t="s">
        <v>27</v>
      </c>
      <c r="C71" s="162" t="s">
        <v>304</v>
      </c>
      <c r="D71" s="169"/>
      <c r="E71" s="231" t="s">
        <v>176</v>
      </c>
      <c r="F71" s="180" t="s">
        <v>27</v>
      </c>
      <c r="G71" s="180" t="s">
        <v>27</v>
      </c>
      <c r="H71" s="180" t="s">
        <v>27</v>
      </c>
      <c r="I71" s="180" t="s">
        <v>27</v>
      </c>
      <c r="J71" s="180" t="s">
        <v>27</v>
      </c>
      <c r="K71" s="181" t="s">
        <v>27</v>
      </c>
      <c r="L71" s="181" t="s">
        <v>27</v>
      </c>
      <c r="M71" s="182" t="s">
        <v>27</v>
      </c>
      <c r="N71" s="186" t="str">
        <f>IF(N$9&lt;=Ostatni_rok_analizy,IF(N$63&lt;=N$69,"Spełniona","Nie spełniona"),0)</f>
        <v>Spełniona</v>
      </c>
      <c r="O71" s="187" t="str">
        <f>IF(O9&lt;=Ostatni_rok_analizy,IF(O63&lt;=O69,"Spełniona","Nie spełniona"),0)</f>
        <v>Spełniona</v>
      </c>
      <c r="P71" s="187" t="str">
        <f>IF(P9&lt;=Ostatni_rok_analizy,IF(P63&lt;=P69,"Spełniona","Nie spełniona"),0)</f>
        <v>Spełniona</v>
      </c>
      <c r="Q71" s="187" t="str">
        <f>IF(Q9&lt;=Ostatni_rok_analizy,IF(Q63&lt;=Q69,"Spełniona","Nie spełniona"),0)</f>
        <v>Spełniona</v>
      </c>
      <c r="R71" s="187" t="str">
        <f>IF(R9&lt;=Ostatni_rok_analizy,IF(R63&lt;=R69,"Spełniona","Nie spełniona"),0)</f>
        <v>Spełniona</v>
      </c>
      <c r="S71" s="187" t="str">
        <f>IF(S9&lt;=Ostatni_rok_analizy,IF(S63&lt;=S69,"Spełniona","Nie spełniona"),0)</f>
        <v>Spełniona</v>
      </c>
      <c r="T71" s="187" t="str">
        <f t="shared" ref="T71:BA71" si="30">IF(T9&lt;=Ostatni_rok_analizy,IF(T63&lt;=T69,"Spełniona","Nie spełniona"),0)</f>
        <v>Spełniona</v>
      </c>
      <c r="U71" s="187" t="str">
        <f t="shared" si="30"/>
        <v>Spełniona</v>
      </c>
      <c r="V71" s="187" t="str">
        <f t="shared" si="30"/>
        <v>Spełniona</v>
      </c>
      <c r="W71" s="187" t="str">
        <f t="shared" si="30"/>
        <v>Spełniona</v>
      </c>
      <c r="X71" s="187" t="str">
        <f t="shared" si="30"/>
        <v>Spełniona</v>
      </c>
      <c r="Y71" s="187" t="str">
        <f t="shared" si="30"/>
        <v>Spełniona</v>
      </c>
      <c r="Z71" s="187">
        <f t="shared" si="30"/>
        <v>0</v>
      </c>
      <c r="AA71" s="187">
        <f t="shared" si="30"/>
        <v>0</v>
      </c>
      <c r="AB71" s="187">
        <f t="shared" si="30"/>
        <v>0</v>
      </c>
      <c r="AC71" s="187">
        <f t="shared" si="30"/>
        <v>0</v>
      </c>
      <c r="AD71" s="187">
        <f t="shared" si="30"/>
        <v>0</v>
      </c>
      <c r="AE71" s="187">
        <f t="shared" si="30"/>
        <v>0</v>
      </c>
      <c r="AF71" s="187">
        <f t="shared" si="30"/>
        <v>0</v>
      </c>
      <c r="AG71" s="187">
        <f t="shared" si="30"/>
        <v>0</v>
      </c>
      <c r="AH71" s="187">
        <f t="shared" si="30"/>
        <v>0</v>
      </c>
      <c r="AI71" s="187">
        <f t="shared" si="30"/>
        <v>0</v>
      </c>
      <c r="AJ71" s="187">
        <f t="shared" si="30"/>
        <v>0</v>
      </c>
      <c r="AK71" s="187">
        <f t="shared" si="30"/>
        <v>0</v>
      </c>
      <c r="AL71" s="187">
        <f t="shared" si="30"/>
        <v>0</v>
      </c>
      <c r="AM71" s="187">
        <f t="shared" si="30"/>
        <v>0</v>
      </c>
      <c r="AN71" s="187">
        <f t="shared" si="30"/>
        <v>0</v>
      </c>
      <c r="AO71" s="187">
        <f t="shared" si="30"/>
        <v>0</v>
      </c>
      <c r="AP71" s="187">
        <f t="shared" si="30"/>
        <v>0</v>
      </c>
      <c r="AQ71" s="187">
        <f t="shared" si="30"/>
        <v>0</v>
      </c>
      <c r="AR71" s="187">
        <f t="shared" si="30"/>
        <v>0</v>
      </c>
      <c r="AS71" s="187">
        <f t="shared" si="30"/>
        <v>0</v>
      </c>
      <c r="AT71" s="187">
        <f t="shared" si="30"/>
        <v>0</v>
      </c>
      <c r="AU71" s="187">
        <f t="shared" si="30"/>
        <v>0</v>
      </c>
      <c r="AV71" s="187">
        <f t="shared" si="30"/>
        <v>0</v>
      </c>
      <c r="AW71" s="187">
        <f t="shared" si="30"/>
        <v>0</v>
      </c>
      <c r="AX71" s="187">
        <f t="shared" si="30"/>
        <v>0</v>
      </c>
      <c r="AY71" s="187">
        <f t="shared" si="30"/>
        <v>0</v>
      </c>
      <c r="AZ71" s="187">
        <f t="shared" si="30"/>
        <v>0</v>
      </c>
      <c r="BA71" s="188">
        <f t="shared" si="30"/>
        <v>0</v>
      </c>
    </row>
    <row r="72" spans="1:54" ht="40.5" outlineLevel="2">
      <c r="A72" s="127" t="s">
        <v>27</v>
      </c>
      <c r="B72" s="238" t="s">
        <v>27</v>
      </c>
      <c r="C72" s="162" t="s">
        <v>282</v>
      </c>
      <c r="D72" s="169"/>
      <c r="E72" s="213" t="s">
        <v>174</v>
      </c>
      <c r="F72" s="180" t="s">
        <v>27</v>
      </c>
      <c r="G72" s="180" t="s">
        <v>27</v>
      </c>
      <c r="H72" s="180" t="s">
        <v>27</v>
      </c>
      <c r="I72" s="180" t="s">
        <v>27</v>
      </c>
      <c r="J72" s="180" t="s">
        <v>27</v>
      </c>
      <c r="K72" s="181" t="s">
        <v>27</v>
      </c>
      <c r="L72" s="181" t="s">
        <v>27</v>
      </c>
      <c r="M72" s="182" t="s">
        <v>27</v>
      </c>
      <c r="N72" s="186" t="str">
        <f>IF(N$9&lt;=Ostatni_rok_analizy,IF(N$63&lt;=N$70,"Spełniona","Nie spełniona"),0)</f>
        <v>Spełniona</v>
      </c>
      <c r="O72" s="187" t="str">
        <f>IF(O9&lt;=Ostatni_rok_analizy,IF(O63&lt;=O70,"Spełniona","Nie spełniona"),0)</f>
        <v>Spełniona</v>
      </c>
      <c r="P72" s="187" t="str">
        <f>IF(P9&lt;=Ostatni_rok_analizy,IF(P63&lt;=P70,"Spełniona","Nie spełniona"),0)</f>
        <v>Spełniona</v>
      </c>
      <c r="Q72" s="187" t="str">
        <f>IF(Q9&lt;=Ostatni_rok_analizy,IF(Q63&lt;=Q70,"Spełniona","Nie spełniona"),0)</f>
        <v>Spełniona</v>
      </c>
      <c r="R72" s="187" t="str">
        <f>IF(R9&lt;=Ostatni_rok_analizy,IF(R63&lt;=R70,"Spełniona","Nie spełniona"),0)</f>
        <v>Spełniona</v>
      </c>
      <c r="S72" s="187" t="str">
        <f>IF(S9&lt;=Ostatni_rok_analizy,IF(S63&lt;=S70,"Spełniona","Nie spełniona"),0)</f>
        <v>Spełniona</v>
      </c>
      <c r="T72" s="187" t="str">
        <f t="shared" ref="T72:BA72" si="31">IF(T9&lt;=Ostatni_rok_analizy,IF(T63&lt;=T70,"Spełniona","Nie spełniona"),0)</f>
        <v>Spełniona</v>
      </c>
      <c r="U72" s="187" t="str">
        <f t="shared" si="31"/>
        <v>Spełniona</v>
      </c>
      <c r="V72" s="187" t="str">
        <f t="shared" si="31"/>
        <v>Spełniona</v>
      </c>
      <c r="W72" s="187" t="str">
        <f t="shared" si="31"/>
        <v>Spełniona</v>
      </c>
      <c r="X72" s="187" t="str">
        <f t="shared" si="31"/>
        <v>Spełniona</v>
      </c>
      <c r="Y72" s="187" t="str">
        <f t="shared" si="31"/>
        <v>Spełniona</v>
      </c>
      <c r="Z72" s="187">
        <f t="shared" si="31"/>
        <v>0</v>
      </c>
      <c r="AA72" s="187">
        <f t="shared" si="31"/>
        <v>0</v>
      </c>
      <c r="AB72" s="187">
        <f t="shared" si="31"/>
        <v>0</v>
      </c>
      <c r="AC72" s="187">
        <f t="shared" si="31"/>
        <v>0</v>
      </c>
      <c r="AD72" s="187">
        <f t="shared" si="31"/>
        <v>0</v>
      </c>
      <c r="AE72" s="187">
        <f t="shared" si="31"/>
        <v>0</v>
      </c>
      <c r="AF72" s="187">
        <f t="shared" si="31"/>
        <v>0</v>
      </c>
      <c r="AG72" s="187">
        <f t="shared" si="31"/>
        <v>0</v>
      </c>
      <c r="AH72" s="187">
        <f t="shared" si="31"/>
        <v>0</v>
      </c>
      <c r="AI72" s="187">
        <f t="shared" si="31"/>
        <v>0</v>
      </c>
      <c r="AJ72" s="187">
        <f t="shared" si="31"/>
        <v>0</v>
      </c>
      <c r="AK72" s="187">
        <f t="shared" si="31"/>
        <v>0</v>
      </c>
      <c r="AL72" s="187">
        <f t="shared" si="31"/>
        <v>0</v>
      </c>
      <c r="AM72" s="187">
        <f t="shared" si="31"/>
        <v>0</v>
      </c>
      <c r="AN72" s="187">
        <f t="shared" si="31"/>
        <v>0</v>
      </c>
      <c r="AO72" s="187">
        <f t="shared" si="31"/>
        <v>0</v>
      </c>
      <c r="AP72" s="187">
        <f t="shared" si="31"/>
        <v>0</v>
      </c>
      <c r="AQ72" s="187">
        <f t="shared" si="31"/>
        <v>0</v>
      </c>
      <c r="AR72" s="187">
        <f t="shared" si="31"/>
        <v>0</v>
      </c>
      <c r="AS72" s="187">
        <f t="shared" si="31"/>
        <v>0</v>
      </c>
      <c r="AT72" s="187">
        <f t="shared" si="31"/>
        <v>0</v>
      </c>
      <c r="AU72" s="187">
        <f t="shared" si="31"/>
        <v>0</v>
      </c>
      <c r="AV72" s="187">
        <f t="shared" si="31"/>
        <v>0</v>
      </c>
      <c r="AW72" s="187">
        <f t="shared" si="31"/>
        <v>0</v>
      </c>
      <c r="AX72" s="187">
        <f t="shared" si="31"/>
        <v>0</v>
      </c>
      <c r="AY72" s="187">
        <f t="shared" si="31"/>
        <v>0</v>
      </c>
      <c r="AZ72" s="187">
        <f t="shared" si="31"/>
        <v>0</v>
      </c>
      <c r="BA72" s="188">
        <f t="shared" si="31"/>
        <v>0</v>
      </c>
    </row>
    <row r="73" spans="1:54" outlineLevel="3">
      <c r="A73" s="238"/>
      <c r="C73" s="162" t="s">
        <v>584</v>
      </c>
      <c r="D73" s="169" t="s">
        <v>646</v>
      </c>
      <c r="E73" s="231" t="s">
        <v>647</v>
      </c>
      <c r="F73" s="180" t="s">
        <v>27</v>
      </c>
      <c r="G73" s="180" t="s">
        <v>27</v>
      </c>
      <c r="H73" s="180" t="s">
        <v>27</v>
      </c>
      <c r="I73" s="180" t="s">
        <v>27</v>
      </c>
      <c r="J73" s="180" t="s">
        <v>27</v>
      </c>
      <c r="K73" s="181" t="s">
        <v>27</v>
      </c>
      <c r="L73" s="181" t="s">
        <v>27</v>
      </c>
      <c r="M73" s="182" t="s">
        <v>27</v>
      </c>
      <c r="N73" s="202">
        <f t="shared" ref="N73:BA73" si="32">IF(N$9&lt;=Ostatni_rok_analizy,IF(N$10&lt;&gt;0,ROUND(N$57/N$10,4),0),"")</f>
        <v>0.30320000000000003</v>
      </c>
      <c r="O73" s="203">
        <f t="shared" si="32"/>
        <v>0.2364</v>
      </c>
      <c r="P73" s="203">
        <f t="shared" si="32"/>
        <v>0.28860000000000002</v>
      </c>
      <c r="Q73" s="203">
        <f t="shared" si="32"/>
        <v>0.2429</v>
      </c>
      <c r="R73" s="203">
        <f t="shared" si="32"/>
        <v>0.2</v>
      </c>
      <c r="S73" s="203">
        <f t="shared" si="32"/>
        <v>0.1598</v>
      </c>
      <c r="T73" s="203">
        <f t="shared" si="32"/>
        <v>0.1303</v>
      </c>
      <c r="U73" s="203">
        <f t="shared" si="32"/>
        <v>0.1027</v>
      </c>
      <c r="V73" s="203">
        <f t="shared" si="32"/>
        <v>7.6799999999999993E-2</v>
      </c>
      <c r="W73" s="203">
        <f t="shared" si="32"/>
        <v>5.2299999999999999E-2</v>
      </c>
      <c r="X73" s="203">
        <f t="shared" si="32"/>
        <v>2.5700000000000001E-2</v>
      </c>
      <c r="Y73" s="203">
        <f t="shared" si="32"/>
        <v>0</v>
      </c>
      <c r="Z73" s="203" t="str">
        <f t="shared" si="32"/>
        <v/>
      </c>
      <c r="AA73" s="203" t="str">
        <f t="shared" si="32"/>
        <v/>
      </c>
      <c r="AB73" s="203" t="str">
        <f t="shared" si="32"/>
        <v/>
      </c>
      <c r="AC73" s="203" t="str">
        <f t="shared" si="32"/>
        <v/>
      </c>
      <c r="AD73" s="203" t="str">
        <f t="shared" si="32"/>
        <v/>
      </c>
      <c r="AE73" s="203" t="str">
        <f t="shared" si="32"/>
        <v/>
      </c>
      <c r="AF73" s="203" t="str">
        <f t="shared" si="32"/>
        <v/>
      </c>
      <c r="AG73" s="203" t="str">
        <f t="shared" si="32"/>
        <v/>
      </c>
      <c r="AH73" s="203" t="str">
        <f t="shared" si="32"/>
        <v/>
      </c>
      <c r="AI73" s="203" t="str">
        <f t="shared" si="32"/>
        <v/>
      </c>
      <c r="AJ73" s="203" t="str">
        <f t="shared" si="32"/>
        <v/>
      </c>
      <c r="AK73" s="203" t="str">
        <f t="shared" si="32"/>
        <v/>
      </c>
      <c r="AL73" s="203" t="str">
        <f t="shared" si="32"/>
        <v/>
      </c>
      <c r="AM73" s="203" t="str">
        <f t="shared" si="32"/>
        <v/>
      </c>
      <c r="AN73" s="203" t="str">
        <f t="shared" si="32"/>
        <v/>
      </c>
      <c r="AO73" s="203" t="str">
        <f t="shared" si="32"/>
        <v/>
      </c>
      <c r="AP73" s="203" t="str">
        <f t="shared" si="32"/>
        <v/>
      </c>
      <c r="AQ73" s="203" t="str">
        <f t="shared" si="32"/>
        <v/>
      </c>
      <c r="AR73" s="203" t="str">
        <f t="shared" si="32"/>
        <v/>
      </c>
      <c r="AS73" s="203" t="str">
        <f t="shared" si="32"/>
        <v/>
      </c>
      <c r="AT73" s="203" t="str">
        <f t="shared" si="32"/>
        <v/>
      </c>
      <c r="AU73" s="203" t="str">
        <f t="shared" si="32"/>
        <v/>
      </c>
      <c r="AV73" s="203" t="str">
        <f t="shared" si="32"/>
        <v/>
      </c>
      <c r="AW73" s="203" t="str">
        <f t="shared" si="32"/>
        <v/>
      </c>
      <c r="AX73" s="203" t="str">
        <f t="shared" si="32"/>
        <v/>
      </c>
      <c r="AY73" s="203" t="str">
        <f t="shared" si="32"/>
        <v/>
      </c>
      <c r="AZ73" s="203" t="str">
        <f t="shared" si="32"/>
        <v/>
      </c>
      <c r="BA73" s="204" t="str">
        <f t="shared" si="32"/>
        <v/>
      </c>
    </row>
    <row r="74" spans="1:54" ht="40.5" outlineLevel="3">
      <c r="A74" s="238"/>
      <c r="C74" s="162" t="s">
        <v>585</v>
      </c>
      <c r="D74" s="169" t="s">
        <v>659</v>
      </c>
      <c r="E74" s="231" t="s">
        <v>653</v>
      </c>
      <c r="F74" s="180" t="s">
        <v>27</v>
      </c>
      <c r="G74" s="180" t="s">
        <v>27</v>
      </c>
      <c r="H74" s="180" t="s">
        <v>27</v>
      </c>
      <c r="I74" s="180" t="s">
        <v>27</v>
      </c>
      <c r="J74" s="180" t="s">
        <v>27</v>
      </c>
      <c r="K74" s="181" t="s">
        <v>27</v>
      </c>
      <c r="L74" s="181" t="s">
        <v>27</v>
      </c>
      <c r="M74" s="182" t="s">
        <v>27</v>
      </c>
      <c r="N74" s="202">
        <f t="shared" ref="N74:BA74" si="33">+IF(N$9&lt;=Ostatni_rok_analizy,IF(N$9&lt;=2025,IF((N11-N15-N111)=0,0,ROUND((N47-N48+(N102-N106)+(N24-N25)+(N26-(N27+N28+N29))+N96+N107)/(N11-N15-N111),4)),0),0)</f>
        <v>9.7999999999999997E-3</v>
      </c>
      <c r="O74" s="203">
        <f t="shared" si="33"/>
        <v>6.83E-2</v>
      </c>
      <c r="P74" s="203">
        <f t="shared" si="33"/>
        <v>6.2199999999999998E-2</v>
      </c>
      <c r="Q74" s="203">
        <f t="shared" si="33"/>
        <v>6.0699999999999997E-2</v>
      </c>
      <c r="R74" s="203">
        <f t="shared" si="33"/>
        <v>0</v>
      </c>
      <c r="S74" s="203">
        <f t="shared" si="33"/>
        <v>0</v>
      </c>
      <c r="T74" s="203">
        <f t="shared" si="33"/>
        <v>0</v>
      </c>
      <c r="U74" s="203">
        <f t="shared" si="33"/>
        <v>0</v>
      </c>
      <c r="V74" s="203">
        <f t="shared" si="33"/>
        <v>0</v>
      </c>
      <c r="W74" s="203">
        <f t="shared" si="33"/>
        <v>0</v>
      </c>
      <c r="X74" s="203">
        <f t="shared" si="33"/>
        <v>0</v>
      </c>
      <c r="Y74" s="203">
        <f t="shared" si="33"/>
        <v>0</v>
      </c>
      <c r="Z74" s="203">
        <f t="shared" si="33"/>
        <v>0</v>
      </c>
      <c r="AA74" s="203">
        <f t="shared" si="33"/>
        <v>0</v>
      </c>
      <c r="AB74" s="203">
        <f t="shared" si="33"/>
        <v>0</v>
      </c>
      <c r="AC74" s="203">
        <f t="shared" si="33"/>
        <v>0</v>
      </c>
      <c r="AD74" s="203">
        <f t="shared" si="33"/>
        <v>0</v>
      </c>
      <c r="AE74" s="203">
        <f t="shared" si="33"/>
        <v>0</v>
      </c>
      <c r="AF74" s="203">
        <f t="shared" si="33"/>
        <v>0</v>
      </c>
      <c r="AG74" s="203">
        <f t="shared" si="33"/>
        <v>0</v>
      </c>
      <c r="AH74" s="203">
        <f t="shared" si="33"/>
        <v>0</v>
      </c>
      <c r="AI74" s="203">
        <f t="shared" si="33"/>
        <v>0</v>
      </c>
      <c r="AJ74" s="203">
        <f t="shared" si="33"/>
        <v>0</v>
      </c>
      <c r="AK74" s="203">
        <f t="shared" si="33"/>
        <v>0</v>
      </c>
      <c r="AL74" s="203">
        <f t="shared" si="33"/>
        <v>0</v>
      </c>
      <c r="AM74" s="203">
        <f t="shared" si="33"/>
        <v>0</v>
      </c>
      <c r="AN74" s="203">
        <f t="shared" si="33"/>
        <v>0</v>
      </c>
      <c r="AO74" s="203">
        <f t="shared" si="33"/>
        <v>0</v>
      </c>
      <c r="AP74" s="203">
        <f t="shared" si="33"/>
        <v>0</v>
      </c>
      <c r="AQ74" s="203">
        <f t="shared" si="33"/>
        <v>0</v>
      </c>
      <c r="AR74" s="203">
        <f t="shared" si="33"/>
        <v>0</v>
      </c>
      <c r="AS74" s="203">
        <f t="shared" si="33"/>
        <v>0</v>
      </c>
      <c r="AT74" s="203">
        <f t="shared" si="33"/>
        <v>0</v>
      </c>
      <c r="AU74" s="203">
        <f t="shared" si="33"/>
        <v>0</v>
      </c>
      <c r="AV74" s="203">
        <f t="shared" si="33"/>
        <v>0</v>
      </c>
      <c r="AW74" s="203">
        <f t="shared" si="33"/>
        <v>0</v>
      </c>
      <c r="AX74" s="203">
        <f t="shared" si="33"/>
        <v>0</v>
      </c>
      <c r="AY74" s="203">
        <f t="shared" si="33"/>
        <v>0</v>
      </c>
      <c r="AZ74" s="203">
        <f t="shared" si="33"/>
        <v>0</v>
      </c>
      <c r="BA74" s="204">
        <f t="shared" si="33"/>
        <v>0</v>
      </c>
    </row>
    <row r="75" spans="1:54" ht="40.5" outlineLevel="3">
      <c r="A75" s="238"/>
      <c r="C75" s="162" t="s">
        <v>586</v>
      </c>
      <c r="D75" s="169"/>
      <c r="E75" s="231" t="s">
        <v>654</v>
      </c>
      <c r="F75" s="180" t="s">
        <v>27</v>
      </c>
      <c r="G75" s="180" t="s">
        <v>27</v>
      </c>
      <c r="H75" s="180" t="s">
        <v>27</v>
      </c>
      <c r="I75" s="180" t="s">
        <v>27</v>
      </c>
      <c r="J75" s="180" t="s">
        <v>27</v>
      </c>
      <c r="K75" s="181" t="s">
        <v>27</v>
      </c>
      <c r="L75" s="181" t="s">
        <v>27</v>
      </c>
      <c r="M75" s="182" t="s">
        <v>27</v>
      </c>
      <c r="N75" s="186" t="str">
        <f t="shared" ref="N75:BA75" si="34">IF(N$9&lt;=Ostatni_rok_analizy,IF(N$74&lt;=N$69,"Spełniona","Nie spełniona"),0)</f>
        <v>Spełniona</v>
      </c>
      <c r="O75" s="187" t="str">
        <f t="shared" si="34"/>
        <v>Spełniona</v>
      </c>
      <c r="P75" s="187" t="str">
        <f t="shared" si="34"/>
        <v>Spełniona</v>
      </c>
      <c r="Q75" s="187" t="str">
        <f t="shared" si="34"/>
        <v>Spełniona</v>
      </c>
      <c r="R75" s="187" t="str">
        <f t="shared" si="34"/>
        <v>Spełniona</v>
      </c>
      <c r="S75" s="187" t="str">
        <f t="shared" si="34"/>
        <v>Spełniona</v>
      </c>
      <c r="T75" s="187" t="str">
        <f t="shared" si="34"/>
        <v>Spełniona</v>
      </c>
      <c r="U75" s="187" t="str">
        <f t="shared" si="34"/>
        <v>Spełniona</v>
      </c>
      <c r="V75" s="187" t="str">
        <f t="shared" si="34"/>
        <v>Spełniona</v>
      </c>
      <c r="W75" s="187" t="str">
        <f t="shared" si="34"/>
        <v>Spełniona</v>
      </c>
      <c r="X75" s="187" t="str">
        <f t="shared" si="34"/>
        <v>Spełniona</v>
      </c>
      <c r="Y75" s="187" t="str">
        <f t="shared" si="34"/>
        <v>Spełniona</v>
      </c>
      <c r="Z75" s="187">
        <f t="shared" si="34"/>
        <v>0</v>
      </c>
      <c r="AA75" s="187">
        <f t="shared" si="34"/>
        <v>0</v>
      </c>
      <c r="AB75" s="187">
        <f t="shared" si="34"/>
        <v>0</v>
      </c>
      <c r="AC75" s="187">
        <f t="shared" si="34"/>
        <v>0</v>
      </c>
      <c r="AD75" s="187">
        <f t="shared" si="34"/>
        <v>0</v>
      </c>
      <c r="AE75" s="187">
        <f t="shared" si="34"/>
        <v>0</v>
      </c>
      <c r="AF75" s="187">
        <f t="shared" si="34"/>
        <v>0</v>
      </c>
      <c r="AG75" s="187">
        <f t="shared" si="34"/>
        <v>0</v>
      </c>
      <c r="AH75" s="187">
        <f t="shared" si="34"/>
        <v>0</v>
      </c>
      <c r="AI75" s="187">
        <f t="shared" si="34"/>
        <v>0</v>
      </c>
      <c r="AJ75" s="187">
        <f t="shared" si="34"/>
        <v>0</v>
      </c>
      <c r="AK75" s="187">
        <f t="shared" si="34"/>
        <v>0</v>
      </c>
      <c r="AL75" s="187">
        <f t="shared" si="34"/>
        <v>0</v>
      </c>
      <c r="AM75" s="187">
        <f t="shared" si="34"/>
        <v>0</v>
      </c>
      <c r="AN75" s="187">
        <f t="shared" si="34"/>
        <v>0</v>
      </c>
      <c r="AO75" s="187">
        <f t="shared" si="34"/>
        <v>0</v>
      </c>
      <c r="AP75" s="187">
        <f t="shared" si="34"/>
        <v>0</v>
      </c>
      <c r="AQ75" s="187">
        <f t="shared" si="34"/>
        <v>0</v>
      </c>
      <c r="AR75" s="187">
        <f t="shared" si="34"/>
        <v>0</v>
      </c>
      <c r="AS75" s="187">
        <f t="shared" si="34"/>
        <v>0</v>
      </c>
      <c r="AT75" s="187">
        <f t="shared" si="34"/>
        <v>0</v>
      </c>
      <c r="AU75" s="187">
        <f t="shared" si="34"/>
        <v>0</v>
      </c>
      <c r="AV75" s="187">
        <f t="shared" si="34"/>
        <v>0</v>
      </c>
      <c r="AW75" s="187">
        <f t="shared" si="34"/>
        <v>0</v>
      </c>
      <c r="AX75" s="187">
        <f t="shared" si="34"/>
        <v>0</v>
      </c>
      <c r="AY75" s="187">
        <f t="shared" si="34"/>
        <v>0</v>
      </c>
      <c r="AZ75" s="187">
        <f t="shared" si="34"/>
        <v>0</v>
      </c>
      <c r="BA75" s="188">
        <f t="shared" si="34"/>
        <v>0</v>
      </c>
    </row>
    <row r="76" spans="1:54" ht="40.5" outlineLevel="3">
      <c r="A76" s="238"/>
      <c r="C76" s="162" t="s">
        <v>587</v>
      </c>
      <c r="D76" s="169"/>
      <c r="E76" s="213" t="s">
        <v>655</v>
      </c>
      <c r="F76" s="180" t="s">
        <v>27</v>
      </c>
      <c r="G76" s="180" t="s">
        <v>27</v>
      </c>
      <c r="H76" s="180" t="s">
        <v>27</v>
      </c>
      <c r="I76" s="180" t="s">
        <v>27</v>
      </c>
      <c r="J76" s="180" t="s">
        <v>27</v>
      </c>
      <c r="K76" s="181" t="s">
        <v>27</v>
      </c>
      <c r="L76" s="181" t="s">
        <v>27</v>
      </c>
      <c r="M76" s="182" t="s">
        <v>27</v>
      </c>
      <c r="N76" s="186" t="str">
        <f t="shared" ref="N76:BA76" si="35">IF(N$9&lt;=Ostatni_rok_analizy,IF(N$74&lt;=N$70,"Spełniona","Nie spełniona"),0)</f>
        <v>Spełniona</v>
      </c>
      <c r="O76" s="187" t="str">
        <f t="shared" si="35"/>
        <v>Spełniona</v>
      </c>
      <c r="P76" s="187" t="str">
        <f t="shared" si="35"/>
        <v>Spełniona</v>
      </c>
      <c r="Q76" s="187" t="str">
        <f t="shared" si="35"/>
        <v>Spełniona</v>
      </c>
      <c r="R76" s="187" t="str">
        <f t="shared" si="35"/>
        <v>Spełniona</v>
      </c>
      <c r="S76" s="187" t="str">
        <f t="shared" si="35"/>
        <v>Spełniona</v>
      </c>
      <c r="T76" s="187" t="str">
        <f t="shared" si="35"/>
        <v>Spełniona</v>
      </c>
      <c r="U76" s="187" t="str">
        <f t="shared" si="35"/>
        <v>Spełniona</v>
      </c>
      <c r="V76" s="187" t="str">
        <f t="shared" si="35"/>
        <v>Spełniona</v>
      </c>
      <c r="W76" s="187" t="str">
        <f t="shared" si="35"/>
        <v>Spełniona</v>
      </c>
      <c r="X76" s="187" t="str">
        <f t="shared" si="35"/>
        <v>Spełniona</v>
      </c>
      <c r="Y76" s="187" t="str">
        <f t="shared" si="35"/>
        <v>Spełniona</v>
      </c>
      <c r="Z76" s="187">
        <f t="shared" si="35"/>
        <v>0</v>
      </c>
      <c r="AA76" s="187">
        <f t="shared" si="35"/>
        <v>0</v>
      </c>
      <c r="AB76" s="187">
        <f t="shared" si="35"/>
        <v>0</v>
      </c>
      <c r="AC76" s="187">
        <f t="shared" si="35"/>
        <v>0</v>
      </c>
      <c r="AD76" s="187">
        <f t="shared" si="35"/>
        <v>0</v>
      </c>
      <c r="AE76" s="187">
        <f t="shared" si="35"/>
        <v>0</v>
      </c>
      <c r="AF76" s="187">
        <f t="shared" si="35"/>
        <v>0</v>
      </c>
      <c r="AG76" s="187">
        <f t="shared" si="35"/>
        <v>0</v>
      </c>
      <c r="AH76" s="187">
        <f t="shared" si="35"/>
        <v>0</v>
      </c>
      <c r="AI76" s="187">
        <f t="shared" si="35"/>
        <v>0</v>
      </c>
      <c r="AJ76" s="187">
        <f t="shared" si="35"/>
        <v>0</v>
      </c>
      <c r="AK76" s="187">
        <f t="shared" si="35"/>
        <v>0</v>
      </c>
      <c r="AL76" s="187">
        <f t="shared" si="35"/>
        <v>0</v>
      </c>
      <c r="AM76" s="187">
        <f t="shared" si="35"/>
        <v>0</v>
      </c>
      <c r="AN76" s="187">
        <f t="shared" si="35"/>
        <v>0</v>
      </c>
      <c r="AO76" s="187">
        <f t="shared" si="35"/>
        <v>0</v>
      </c>
      <c r="AP76" s="187">
        <f t="shared" si="35"/>
        <v>0</v>
      </c>
      <c r="AQ76" s="187">
        <f t="shared" si="35"/>
        <v>0</v>
      </c>
      <c r="AR76" s="187">
        <f t="shared" si="35"/>
        <v>0</v>
      </c>
      <c r="AS76" s="187">
        <f t="shared" si="35"/>
        <v>0</v>
      </c>
      <c r="AT76" s="187">
        <f t="shared" si="35"/>
        <v>0</v>
      </c>
      <c r="AU76" s="187">
        <f t="shared" si="35"/>
        <v>0</v>
      </c>
      <c r="AV76" s="187">
        <f t="shared" si="35"/>
        <v>0</v>
      </c>
      <c r="AW76" s="187">
        <f t="shared" si="35"/>
        <v>0</v>
      </c>
      <c r="AX76" s="187">
        <f t="shared" si="35"/>
        <v>0</v>
      </c>
      <c r="AY76" s="187">
        <f t="shared" si="35"/>
        <v>0</v>
      </c>
      <c r="AZ76" s="187">
        <f t="shared" si="35"/>
        <v>0</v>
      </c>
      <c r="BA76" s="188">
        <f t="shared" si="35"/>
        <v>0</v>
      </c>
    </row>
    <row r="77" spans="1:54" ht="27">
      <c r="C77" s="170">
        <v>9</v>
      </c>
      <c r="D77" s="169"/>
      <c r="E77" s="215" t="s">
        <v>50</v>
      </c>
      <c r="F77" s="180" t="s">
        <v>27</v>
      </c>
      <c r="G77" s="180" t="s">
        <v>27</v>
      </c>
      <c r="H77" s="180" t="s">
        <v>27</v>
      </c>
      <c r="I77" s="180" t="s">
        <v>27</v>
      </c>
      <c r="J77" s="180" t="s">
        <v>27</v>
      </c>
      <c r="K77" s="181" t="s">
        <v>27</v>
      </c>
      <c r="L77" s="181" t="s">
        <v>27</v>
      </c>
      <c r="M77" s="182" t="s">
        <v>27</v>
      </c>
      <c r="N77" s="180" t="s">
        <v>27</v>
      </c>
      <c r="O77" s="181" t="s">
        <v>27</v>
      </c>
      <c r="P77" s="181" t="s">
        <v>27</v>
      </c>
      <c r="Q77" s="181" t="s">
        <v>27</v>
      </c>
      <c r="R77" s="181" t="s">
        <v>27</v>
      </c>
      <c r="S77" s="181" t="s">
        <v>27</v>
      </c>
      <c r="T77" s="181" t="s">
        <v>27</v>
      </c>
      <c r="U77" s="181" t="s">
        <v>27</v>
      </c>
      <c r="V77" s="181" t="s">
        <v>27</v>
      </c>
      <c r="W77" s="181" t="s">
        <v>27</v>
      </c>
      <c r="X77" s="181" t="s">
        <v>27</v>
      </c>
      <c r="Y77" s="181" t="s">
        <v>27</v>
      </c>
      <c r="Z77" s="181" t="s">
        <v>27</v>
      </c>
      <c r="AA77" s="181" t="s">
        <v>27</v>
      </c>
      <c r="AB77" s="181" t="s">
        <v>27</v>
      </c>
      <c r="AC77" s="181" t="s">
        <v>27</v>
      </c>
      <c r="AD77" s="181" t="s">
        <v>27</v>
      </c>
      <c r="AE77" s="181" t="s">
        <v>27</v>
      </c>
      <c r="AF77" s="181" t="s">
        <v>27</v>
      </c>
      <c r="AG77" s="181" t="s">
        <v>27</v>
      </c>
      <c r="AH77" s="181" t="s">
        <v>27</v>
      </c>
      <c r="AI77" s="181" t="s">
        <v>27</v>
      </c>
      <c r="AJ77" s="181" t="s">
        <v>27</v>
      </c>
      <c r="AK77" s="181" t="s">
        <v>27</v>
      </c>
      <c r="AL77" s="181" t="s">
        <v>27</v>
      </c>
      <c r="AM77" s="181" t="s">
        <v>27</v>
      </c>
      <c r="AN77" s="181" t="s">
        <v>27</v>
      </c>
      <c r="AO77" s="181" t="s">
        <v>27</v>
      </c>
      <c r="AP77" s="181" t="s">
        <v>27</v>
      </c>
      <c r="AQ77" s="181" t="s">
        <v>27</v>
      </c>
      <c r="AR77" s="181" t="s">
        <v>27</v>
      </c>
      <c r="AS77" s="181" t="s">
        <v>27</v>
      </c>
      <c r="AT77" s="181" t="s">
        <v>27</v>
      </c>
      <c r="AU77" s="181" t="s">
        <v>27</v>
      </c>
      <c r="AV77" s="181" t="s">
        <v>27</v>
      </c>
      <c r="AW77" s="181" t="s">
        <v>27</v>
      </c>
      <c r="AX77" s="181" t="s">
        <v>27</v>
      </c>
      <c r="AY77" s="181" t="s">
        <v>27</v>
      </c>
      <c r="AZ77" s="181" t="s">
        <v>27</v>
      </c>
      <c r="BA77" s="182" t="s">
        <v>27</v>
      </c>
    </row>
    <row r="78" spans="1:54" ht="27" outlineLevel="1">
      <c r="C78" s="219" t="s">
        <v>66</v>
      </c>
      <c r="D78" s="220"/>
      <c r="E78" s="234" t="s">
        <v>335</v>
      </c>
      <c r="F78" s="164">
        <f>+WPF_bazowy!F78+Symulacja!F7</f>
        <v>217662.59</v>
      </c>
      <c r="G78" s="164">
        <f>+WPF_bazowy!G78+Symulacja!G7</f>
        <v>121406.25</v>
      </c>
      <c r="H78" s="164">
        <f>+WPF_bazowy!H78+Symulacja!H7</f>
        <v>623499.63</v>
      </c>
      <c r="I78" s="164">
        <f>+WPF_bazowy!I78+Symulacja!I7</f>
        <v>939718.53</v>
      </c>
      <c r="J78" s="164">
        <f>+WPF_bazowy!J78+Symulacja!J7</f>
        <v>1013199.41</v>
      </c>
      <c r="K78" s="165">
        <f>+WPF_bazowy!K78+Symulacja!K7</f>
        <v>1090624.22</v>
      </c>
      <c r="L78" s="165">
        <f>+WPF_bazowy!L78+Symulacja!L7</f>
        <v>1352740</v>
      </c>
      <c r="M78" s="250">
        <f>+WPF_bazowy!M78+Symulacja!M7</f>
        <v>1261445.94</v>
      </c>
      <c r="N78" s="251">
        <f>+WPF_bazowy!N78+Symulacja!N7</f>
        <v>1933369</v>
      </c>
      <c r="O78" s="252">
        <f>+WPF_bazowy!O78+Symulacja!O7</f>
        <v>0</v>
      </c>
      <c r="P78" s="252">
        <f>+WPF_bazowy!P78+Symulacja!P7</f>
        <v>0</v>
      </c>
      <c r="Q78" s="252">
        <f>+WPF_bazowy!Q78+Symulacja!Q7</f>
        <v>0</v>
      </c>
      <c r="R78" s="252">
        <f>+WPF_bazowy!R78+Symulacja!R7</f>
        <v>0</v>
      </c>
      <c r="S78" s="252">
        <f>+WPF_bazowy!S78+Symulacja!S7</f>
        <v>0</v>
      </c>
      <c r="T78" s="252">
        <f>+WPF_bazowy!T78+Symulacja!T7</f>
        <v>0</v>
      </c>
      <c r="U78" s="252">
        <f>+WPF_bazowy!U78+Symulacja!U7</f>
        <v>0</v>
      </c>
      <c r="V78" s="252">
        <f>+WPF_bazowy!V78+Symulacja!V7</f>
        <v>0</v>
      </c>
      <c r="W78" s="252">
        <f>+WPF_bazowy!W78+Symulacja!W7</f>
        <v>0</v>
      </c>
      <c r="X78" s="252">
        <f>+WPF_bazowy!X78+Symulacja!X7</f>
        <v>0</v>
      </c>
      <c r="Y78" s="252">
        <f>+WPF_bazowy!Y78+Symulacja!Y7</f>
        <v>0</v>
      </c>
      <c r="Z78" s="252">
        <f>+WPF_bazowy!Z78+Symulacja!Z7</f>
        <v>0</v>
      </c>
      <c r="AA78" s="252">
        <f>+WPF_bazowy!AA78+Symulacja!AA7</f>
        <v>0</v>
      </c>
      <c r="AB78" s="252">
        <f>+WPF_bazowy!AB78+Symulacja!AB7</f>
        <v>0</v>
      </c>
      <c r="AC78" s="252">
        <f>+WPF_bazowy!AC78+Symulacja!AC7</f>
        <v>0</v>
      </c>
      <c r="AD78" s="252">
        <f>+WPF_bazowy!AD78+Symulacja!AD7</f>
        <v>0</v>
      </c>
      <c r="AE78" s="252">
        <f>+WPF_bazowy!AE78+Symulacja!AE7</f>
        <v>0</v>
      </c>
      <c r="AF78" s="252">
        <f>+WPF_bazowy!AF78+Symulacja!AF7</f>
        <v>0</v>
      </c>
      <c r="AG78" s="252">
        <f>+WPF_bazowy!AG78+Symulacja!AG7</f>
        <v>0</v>
      </c>
      <c r="AH78" s="252">
        <f>+WPF_bazowy!AH78+Symulacja!AH7</f>
        <v>0</v>
      </c>
      <c r="AI78" s="252">
        <f>+WPF_bazowy!AI78+Symulacja!AI7</f>
        <v>0</v>
      </c>
      <c r="AJ78" s="252">
        <f>+WPF_bazowy!AJ78+Symulacja!AJ7</f>
        <v>0</v>
      </c>
      <c r="AK78" s="252">
        <f>+WPF_bazowy!AK78+Symulacja!AK7</f>
        <v>0</v>
      </c>
      <c r="AL78" s="252">
        <f>+WPF_bazowy!AL78+Symulacja!AL7</f>
        <v>0</v>
      </c>
      <c r="AM78" s="252">
        <f>+WPF_bazowy!AM78+Symulacja!AM7</f>
        <v>0</v>
      </c>
      <c r="AN78" s="252">
        <f>+WPF_bazowy!AN78+Symulacja!AN7</f>
        <v>0</v>
      </c>
      <c r="AO78" s="252">
        <f>+WPF_bazowy!AO78+Symulacja!AO7</f>
        <v>0</v>
      </c>
      <c r="AP78" s="252">
        <f>+WPF_bazowy!AP78+Symulacja!AP7</f>
        <v>0</v>
      </c>
      <c r="AQ78" s="252">
        <f>+WPF_bazowy!AQ78+Symulacja!AQ7</f>
        <v>0</v>
      </c>
      <c r="AR78" s="252">
        <f>+WPF_bazowy!AR78+Symulacja!AR7</f>
        <v>0</v>
      </c>
      <c r="AS78" s="252">
        <f>+WPF_bazowy!AS78+Symulacja!AS7</f>
        <v>0</v>
      </c>
      <c r="AT78" s="252">
        <f>+WPF_bazowy!AT78+Symulacja!AT7</f>
        <v>0</v>
      </c>
      <c r="AU78" s="252">
        <f>+WPF_bazowy!AU78+Symulacja!AU7</f>
        <v>0</v>
      </c>
      <c r="AV78" s="252">
        <f>+WPF_bazowy!AV78+Symulacja!AV7</f>
        <v>0</v>
      </c>
      <c r="AW78" s="252">
        <f>+WPF_bazowy!AW78+Symulacja!AW7</f>
        <v>0</v>
      </c>
      <c r="AX78" s="252">
        <f>+WPF_bazowy!AX78+Symulacja!AX7</f>
        <v>0</v>
      </c>
      <c r="AY78" s="252">
        <f>+WPF_bazowy!AY78+Symulacja!AY7</f>
        <v>0</v>
      </c>
      <c r="AZ78" s="252">
        <f>+WPF_bazowy!AZ78+Symulacja!AZ7</f>
        <v>0</v>
      </c>
      <c r="BA78" s="253">
        <f>+WPF_bazowy!BA78+Symulacja!BA7</f>
        <v>0</v>
      </c>
    </row>
    <row r="79" spans="1:54" ht="27" outlineLevel="2">
      <c r="A79" s="127" t="s">
        <v>27</v>
      </c>
      <c r="B79" s="238" t="s">
        <v>27</v>
      </c>
      <c r="C79" s="219" t="s">
        <v>283</v>
      </c>
      <c r="D79" s="220"/>
      <c r="E79" s="217" t="s">
        <v>336</v>
      </c>
      <c r="F79" s="164">
        <f>+WPF_bazowy!F79+Symulacja!F7</f>
        <v>217662.59</v>
      </c>
      <c r="G79" s="164">
        <f>+WPF_bazowy!G79+Symulacja!G7</f>
        <v>121406.25</v>
      </c>
      <c r="H79" s="164">
        <f>+WPF_bazowy!H79+Symulacja!H7</f>
        <v>623499.63</v>
      </c>
      <c r="I79" s="164">
        <f>+WPF_bazowy!I79+Symulacja!I7</f>
        <v>939718.53</v>
      </c>
      <c r="J79" s="164">
        <f>+WPF_bazowy!J79+Symulacja!J7</f>
        <v>1013199.41</v>
      </c>
      <c r="K79" s="165">
        <f>+WPF_bazowy!K79+Symulacja!K7</f>
        <v>1090624.22</v>
      </c>
      <c r="L79" s="165">
        <f>+WPF_bazowy!L79+Symulacja!L7</f>
        <v>1352740</v>
      </c>
      <c r="M79" s="250">
        <f>+WPF_bazowy!M79+Symulacja!M7</f>
        <v>1261445.94</v>
      </c>
      <c r="N79" s="251">
        <f>+WPF_bazowy!N79+Symulacja!N7</f>
        <v>1933369</v>
      </c>
      <c r="O79" s="252">
        <f>+WPF_bazowy!O79+Symulacja!O7</f>
        <v>0</v>
      </c>
      <c r="P79" s="252">
        <f>+WPF_bazowy!P79+Symulacja!P7</f>
        <v>0</v>
      </c>
      <c r="Q79" s="252">
        <f>+WPF_bazowy!Q79+Symulacja!Q7</f>
        <v>0</v>
      </c>
      <c r="R79" s="252">
        <f>+WPF_bazowy!R79+Symulacja!R7</f>
        <v>0</v>
      </c>
      <c r="S79" s="252">
        <f>+WPF_bazowy!S79+Symulacja!S7</f>
        <v>0</v>
      </c>
      <c r="T79" s="252">
        <f>+WPF_bazowy!T79+Symulacja!T7</f>
        <v>0</v>
      </c>
      <c r="U79" s="252">
        <f>+WPF_bazowy!U79+Symulacja!U7</f>
        <v>0</v>
      </c>
      <c r="V79" s="252">
        <f>+WPF_bazowy!V79+Symulacja!V7</f>
        <v>0</v>
      </c>
      <c r="W79" s="252">
        <f>+WPF_bazowy!W79+Symulacja!W7</f>
        <v>0</v>
      </c>
      <c r="X79" s="252">
        <f>+WPF_bazowy!X79+Symulacja!X7</f>
        <v>0</v>
      </c>
      <c r="Y79" s="252">
        <f>+WPF_bazowy!Y79+Symulacja!Y7</f>
        <v>0</v>
      </c>
      <c r="Z79" s="252">
        <f>+WPF_bazowy!Z79+Symulacja!Z7</f>
        <v>0</v>
      </c>
      <c r="AA79" s="252">
        <f>+WPF_bazowy!AA79+Symulacja!AA7</f>
        <v>0</v>
      </c>
      <c r="AB79" s="252">
        <f>+WPF_bazowy!AB79+Symulacja!AB7</f>
        <v>0</v>
      </c>
      <c r="AC79" s="252">
        <f>+WPF_bazowy!AC79+Symulacja!AC7</f>
        <v>0</v>
      </c>
      <c r="AD79" s="252">
        <f>+WPF_bazowy!AD79+Symulacja!AD7</f>
        <v>0</v>
      </c>
      <c r="AE79" s="252">
        <f>+WPF_bazowy!AE79+Symulacja!AE7</f>
        <v>0</v>
      </c>
      <c r="AF79" s="252">
        <f>+WPF_bazowy!AF79+Symulacja!AF7</f>
        <v>0</v>
      </c>
      <c r="AG79" s="252">
        <f>+WPF_bazowy!AG79+Symulacja!AG7</f>
        <v>0</v>
      </c>
      <c r="AH79" s="252">
        <f>+WPF_bazowy!AH79+Symulacja!AH7</f>
        <v>0</v>
      </c>
      <c r="AI79" s="252">
        <f>+WPF_bazowy!AI79+Symulacja!AI7</f>
        <v>0</v>
      </c>
      <c r="AJ79" s="252">
        <f>+WPF_bazowy!AJ79+Symulacja!AJ7</f>
        <v>0</v>
      </c>
      <c r="AK79" s="252">
        <f>+WPF_bazowy!AK79+Symulacja!AK7</f>
        <v>0</v>
      </c>
      <c r="AL79" s="252">
        <f>+WPF_bazowy!AL79+Symulacja!AL7</f>
        <v>0</v>
      </c>
      <c r="AM79" s="252">
        <f>+WPF_bazowy!AM79+Symulacja!AM7</f>
        <v>0</v>
      </c>
      <c r="AN79" s="252">
        <f>+WPF_bazowy!AN79+Symulacja!AN7</f>
        <v>0</v>
      </c>
      <c r="AO79" s="252">
        <f>+WPF_bazowy!AO79+Symulacja!AO7</f>
        <v>0</v>
      </c>
      <c r="AP79" s="252">
        <f>+WPF_bazowy!AP79+Symulacja!AP7</f>
        <v>0</v>
      </c>
      <c r="AQ79" s="252">
        <f>+WPF_bazowy!AQ79+Symulacja!AQ7</f>
        <v>0</v>
      </c>
      <c r="AR79" s="252">
        <f>+WPF_bazowy!AR79+Symulacja!AR7</f>
        <v>0</v>
      </c>
      <c r="AS79" s="252">
        <f>+WPF_bazowy!AS79+Symulacja!AS7</f>
        <v>0</v>
      </c>
      <c r="AT79" s="252">
        <f>+WPF_bazowy!AT79+Symulacja!AT7</f>
        <v>0</v>
      </c>
      <c r="AU79" s="252">
        <f>+WPF_bazowy!AU79+Symulacja!AU7</f>
        <v>0</v>
      </c>
      <c r="AV79" s="252">
        <f>+WPF_bazowy!AV79+Symulacja!AV7</f>
        <v>0</v>
      </c>
      <c r="AW79" s="252">
        <f>+WPF_bazowy!AW79+Symulacja!AW7</f>
        <v>0</v>
      </c>
      <c r="AX79" s="252">
        <f>+WPF_bazowy!AX79+Symulacja!AX7</f>
        <v>0</v>
      </c>
      <c r="AY79" s="252">
        <f>+WPF_bazowy!AY79+Symulacja!AY7</f>
        <v>0</v>
      </c>
      <c r="AZ79" s="252">
        <f>+WPF_bazowy!AZ79+Symulacja!AZ7</f>
        <v>0</v>
      </c>
      <c r="BA79" s="253">
        <f>+WPF_bazowy!BA79+Symulacja!BA7</f>
        <v>0</v>
      </c>
    </row>
    <row r="80" spans="1:54" ht="15" outlineLevel="3">
      <c r="C80" s="162" t="s">
        <v>284</v>
      </c>
      <c r="D80" s="169"/>
      <c r="E80" s="233" t="s">
        <v>337</v>
      </c>
      <c r="F80" s="164">
        <f>+WPF_bazowy!F80</f>
        <v>191152.54</v>
      </c>
      <c r="G80" s="164">
        <f>+WPF_bazowy!G80</f>
        <v>121406.25</v>
      </c>
      <c r="H80" s="164">
        <f>+WPF_bazowy!H80</f>
        <v>620247.63</v>
      </c>
      <c r="I80" s="164">
        <f>+WPF_bazowy!I80</f>
        <v>919369.29</v>
      </c>
      <c r="J80" s="164">
        <f>+WPF_bazowy!J80</f>
        <v>931273.71</v>
      </c>
      <c r="K80" s="165">
        <f>+WPF_bazowy!K80</f>
        <v>1033964.91</v>
      </c>
      <c r="L80" s="165">
        <f>+WPF_bazowy!L80</f>
        <v>1347126</v>
      </c>
      <c r="M80" s="250">
        <f>+WPF_bazowy!M80</f>
        <v>1261445.94</v>
      </c>
      <c r="N80" s="251">
        <f>+WPF_bazowy!N80</f>
        <v>1933369</v>
      </c>
      <c r="O80" s="252">
        <f>+WPF_bazowy!O80</f>
        <v>0</v>
      </c>
      <c r="P80" s="252">
        <f>+WPF_bazowy!P80</f>
        <v>0</v>
      </c>
      <c r="Q80" s="252">
        <f>+WPF_bazowy!Q80</f>
        <v>0</v>
      </c>
      <c r="R80" s="252">
        <f>+WPF_bazowy!R80</f>
        <v>0</v>
      </c>
      <c r="S80" s="252">
        <f>+WPF_bazowy!S80</f>
        <v>0</v>
      </c>
      <c r="T80" s="252">
        <f>+WPF_bazowy!T80</f>
        <v>0</v>
      </c>
      <c r="U80" s="252">
        <f>+WPF_bazowy!U80</f>
        <v>0</v>
      </c>
      <c r="V80" s="252">
        <f>+WPF_bazowy!V80</f>
        <v>0</v>
      </c>
      <c r="W80" s="252">
        <f>+WPF_bazowy!W80</f>
        <v>0</v>
      </c>
      <c r="X80" s="252">
        <f>+WPF_bazowy!X80</f>
        <v>0</v>
      </c>
      <c r="Y80" s="252">
        <f>+WPF_bazowy!Y80</f>
        <v>0</v>
      </c>
      <c r="Z80" s="252">
        <f>+WPF_bazowy!Z80</f>
        <v>0</v>
      </c>
      <c r="AA80" s="252">
        <f>+WPF_bazowy!AA80</f>
        <v>0</v>
      </c>
      <c r="AB80" s="252">
        <f>+WPF_bazowy!AB80</f>
        <v>0</v>
      </c>
      <c r="AC80" s="252">
        <f>+WPF_bazowy!AC80</f>
        <v>0</v>
      </c>
      <c r="AD80" s="252">
        <f>+WPF_bazowy!AD80</f>
        <v>0</v>
      </c>
      <c r="AE80" s="252">
        <f>+WPF_bazowy!AE80</f>
        <v>0</v>
      </c>
      <c r="AF80" s="252">
        <f>+WPF_bazowy!AF80</f>
        <v>0</v>
      </c>
      <c r="AG80" s="252">
        <f>+WPF_bazowy!AG80</f>
        <v>0</v>
      </c>
      <c r="AH80" s="252">
        <f>+WPF_bazowy!AH80</f>
        <v>0</v>
      </c>
      <c r="AI80" s="252">
        <f>+WPF_bazowy!AI80</f>
        <v>0</v>
      </c>
      <c r="AJ80" s="252">
        <f>+WPF_bazowy!AJ80</f>
        <v>0</v>
      </c>
      <c r="AK80" s="252">
        <f>+WPF_bazowy!AK80</f>
        <v>0</v>
      </c>
      <c r="AL80" s="252">
        <f>+WPF_bazowy!AL80</f>
        <v>0</v>
      </c>
      <c r="AM80" s="252">
        <f>+WPF_bazowy!AM80</f>
        <v>0</v>
      </c>
      <c r="AN80" s="252">
        <f>+WPF_bazowy!AN80</f>
        <v>0</v>
      </c>
      <c r="AO80" s="252">
        <f>+WPF_bazowy!AO80</f>
        <v>0</v>
      </c>
      <c r="AP80" s="252">
        <f>+WPF_bazowy!AP80</f>
        <v>0</v>
      </c>
      <c r="AQ80" s="252">
        <f>+WPF_bazowy!AQ80</f>
        <v>0</v>
      </c>
      <c r="AR80" s="252">
        <f>+WPF_bazowy!AR80</f>
        <v>0</v>
      </c>
      <c r="AS80" s="252">
        <f>+WPF_bazowy!AS80</f>
        <v>0</v>
      </c>
      <c r="AT80" s="252">
        <f>+WPF_bazowy!AT80</f>
        <v>0</v>
      </c>
      <c r="AU80" s="252">
        <f>+WPF_bazowy!AU80</f>
        <v>0</v>
      </c>
      <c r="AV80" s="252">
        <f>+WPF_bazowy!AV80</f>
        <v>0</v>
      </c>
      <c r="AW80" s="252">
        <f>+WPF_bazowy!AW80</f>
        <v>0</v>
      </c>
      <c r="AX80" s="252">
        <f>+WPF_bazowy!AX80</f>
        <v>0</v>
      </c>
      <c r="AY80" s="252">
        <f>+WPF_bazowy!AY80</f>
        <v>0</v>
      </c>
      <c r="AZ80" s="252">
        <f>+WPF_bazowy!AZ80</f>
        <v>0</v>
      </c>
      <c r="BA80" s="253">
        <f>+WPF_bazowy!BA80</f>
        <v>0</v>
      </c>
      <c r="BB80" s="153"/>
    </row>
    <row r="81" spans="1:53" ht="27" outlineLevel="1">
      <c r="C81" s="162" t="s">
        <v>67</v>
      </c>
      <c r="D81" s="169"/>
      <c r="E81" s="231" t="s">
        <v>338</v>
      </c>
      <c r="F81" s="164">
        <f>+WPF_bazowy!F81+Symulacja!F10</f>
        <v>0</v>
      </c>
      <c r="G81" s="164">
        <f>+WPF_bazowy!G81+Symulacja!G10</f>
        <v>0</v>
      </c>
      <c r="H81" s="164">
        <f>+WPF_bazowy!H81+Symulacja!H10</f>
        <v>0</v>
      </c>
      <c r="I81" s="164">
        <f>+WPF_bazowy!I81+Symulacja!I10</f>
        <v>3393080.19</v>
      </c>
      <c r="J81" s="164">
        <f>+WPF_bazowy!J81+Symulacja!J10</f>
        <v>6114655.1699999999</v>
      </c>
      <c r="K81" s="165">
        <f>+WPF_bazowy!K81+Symulacja!K10</f>
        <v>3012293.07</v>
      </c>
      <c r="L81" s="165">
        <f>+WPF_bazowy!L81+Symulacja!L10</f>
        <v>0</v>
      </c>
      <c r="M81" s="250">
        <f>+WPF_bazowy!M81+Symulacja!M10</f>
        <v>0</v>
      </c>
      <c r="N81" s="251">
        <f>+WPF_bazowy!N81+Symulacja!N10</f>
        <v>2790427</v>
      </c>
      <c r="O81" s="252">
        <f>+WPF_bazowy!O81+Symulacja!O10</f>
        <v>0</v>
      </c>
      <c r="P81" s="252">
        <f>+WPF_bazowy!P81+Symulacja!P10</f>
        <v>0</v>
      </c>
      <c r="Q81" s="252">
        <f>+WPF_bazowy!Q81+Symulacja!Q10</f>
        <v>0</v>
      </c>
      <c r="R81" s="252">
        <f>+WPF_bazowy!R81+Symulacja!R10</f>
        <v>0</v>
      </c>
      <c r="S81" s="252">
        <f>+WPF_bazowy!S81+Symulacja!S10</f>
        <v>0</v>
      </c>
      <c r="T81" s="252">
        <f>+WPF_bazowy!T81+Symulacja!T10</f>
        <v>0</v>
      </c>
      <c r="U81" s="252">
        <f>+WPF_bazowy!U81+Symulacja!U10</f>
        <v>0</v>
      </c>
      <c r="V81" s="252">
        <f>+WPF_bazowy!V81+Symulacja!V10</f>
        <v>0</v>
      </c>
      <c r="W81" s="252">
        <f>+WPF_bazowy!W81+Symulacja!W10</f>
        <v>0</v>
      </c>
      <c r="X81" s="252">
        <f>+WPF_bazowy!X81+Symulacja!X10</f>
        <v>0</v>
      </c>
      <c r="Y81" s="252">
        <f>+WPF_bazowy!Y81+Symulacja!Y10</f>
        <v>0</v>
      </c>
      <c r="Z81" s="252">
        <f>+WPF_bazowy!Z81+Symulacja!Z10</f>
        <v>0</v>
      </c>
      <c r="AA81" s="252">
        <f>+WPF_bazowy!AA81+Symulacja!AA10</f>
        <v>0</v>
      </c>
      <c r="AB81" s="252">
        <f>+WPF_bazowy!AB81+Symulacja!AB10</f>
        <v>0</v>
      </c>
      <c r="AC81" s="252">
        <f>+WPF_bazowy!AC81+Symulacja!AC10</f>
        <v>0</v>
      </c>
      <c r="AD81" s="252">
        <f>+WPF_bazowy!AD81+Symulacja!AD10</f>
        <v>0</v>
      </c>
      <c r="AE81" s="252">
        <f>+WPF_bazowy!AE81+Symulacja!AE10</f>
        <v>0</v>
      </c>
      <c r="AF81" s="252">
        <f>+WPF_bazowy!AF81+Symulacja!AF10</f>
        <v>0</v>
      </c>
      <c r="AG81" s="252">
        <f>+WPF_bazowy!AG81+Symulacja!AG10</f>
        <v>0</v>
      </c>
      <c r="AH81" s="252">
        <f>+WPF_bazowy!AH81+Symulacja!AH10</f>
        <v>0</v>
      </c>
      <c r="AI81" s="252">
        <f>+WPF_bazowy!AI81+Symulacja!AI10</f>
        <v>0</v>
      </c>
      <c r="AJ81" s="252">
        <f>+WPF_bazowy!AJ81+Symulacja!AJ10</f>
        <v>0</v>
      </c>
      <c r="AK81" s="252">
        <f>+WPF_bazowy!AK81+Symulacja!AK10</f>
        <v>0</v>
      </c>
      <c r="AL81" s="252">
        <f>+WPF_bazowy!AL81+Symulacja!AL10</f>
        <v>0</v>
      </c>
      <c r="AM81" s="252">
        <f>+WPF_bazowy!AM81+Symulacja!AM10</f>
        <v>0</v>
      </c>
      <c r="AN81" s="252">
        <f>+WPF_bazowy!AN81+Symulacja!AN10</f>
        <v>0</v>
      </c>
      <c r="AO81" s="252">
        <f>+WPF_bazowy!AO81+Symulacja!AO10</f>
        <v>0</v>
      </c>
      <c r="AP81" s="252">
        <f>+WPF_bazowy!AP81+Symulacja!AP10</f>
        <v>0</v>
      </c>
      <c r="AQ81" s="252">
        <f>+WPF_bazowy!AQ81+Symulacja!AQ10</f>
        <v>0</v>
      </c>
      <c r="AR81" s="252">
        <f>+WPF_bazowy!AR81+Symulacja!AR10</f>
        <v>0</v>
      </c>
      <c r="AS81" s="252">
        <f>+WPF_bazowy!AS81+Symulacja!AS10</f>
        <v>0</v>
      </c>
      <c r="AT81" s="252">
        <f>+WPF_bazowy!AT81+Symulacja!AT10</f>
        <v>0</v>
      </c>
      <c r="AU81" s="252">
        <f>+WPF_bazowy!AU81+Symulacja!AU10</f>
        <v>0</v>
      </c>
      <c r="AV81" s="252">
        <f>+WPF_bazowy!AV81+Symulacja!AV10</f>
        <v>0</v>
      </c>
      <c r="AW81" s="252">
        <f>+WPF_bazowy!AW81+Symulacja!AW10</f>
        <v>0</v>
      </c>
      <c r="AX81" s="252">
        <f>+WPF_bazowy!AX81+Symulacja!AX10</f>
        <v>0</v>
      </c>
      <c r="AY81" s="252">
        <f>+WPF_bazowy!AY81+Symulacja!AY10</f>
        <v>0</v>
      </c>
      <c r="AZ81" s="252">
        <f>+WPF_bazowy!AZ81+Symulacja!AZ10</f>
        <v>0</v>
      </c>
      <c r="BA81" s="253">
        <f>+WPF_bazowy!BA81+Symulacja!BA10</f>
        <v>0</v>
      </c>
    </row>
    <row r="82" spans="1:53" ht="27" outlineLevel="2">
      <c r="C82" s="162" t="s">
        <v>285</v>
      </c>
      <c r="D82" s="169"/>
      <c r="E82" s="213" t="s">
        <v>339</v>
      </c>
      <c r="F82" s="164">
        <f>+WPF_bazowy!F82+Symulacja!F10</f>
        <v>0</v>
      </c>
      <c r="G82" s="164">
        <f>+WPF_bazowy!G82+Symulacja!G10</f>
        <v>0</v>
      </c>
      <c r="H82" s="164">
        <f>+WPF_bazowy!H82+Symulacja!H10</f>
        <v>0</v>
      </c>
      <c r="I82" s="164">
        <f>+WPF_bazowy!I82+Symulacja!I10</f>
        <v>3393080.19</v>
      </c>
      <c r="J82" s="164">
        <f>+WPF_bazowy!J82+Symulacja!J10</f>
        <v>6114655.1699999999</v>
      </c>
      <c r="K82" s="165">
        <f>+WPF_bazowy!K82+Symulacja!K10</f>
        <v>3012293.07</v>
      </c>
      <c r="L82" s="165">
        <f>+WPF_bazowy!L82+Symulacja!L10</f>
        <v>0</v>
      </c>
      <c r="M82" s="250">
        <f>+WPF_bazowy!M82+Symulacja!M10</f>
        <v>0</v>
      </c>
      <c r="N82" s="251">
        <f>+WPF_bazowy!N82+Symulacja!N10</f>
        <v>2790427</v>
      </c>
      <c r="O82" s="252">
        <f>+WPF_bazowy!O82+Symulacja!O10</f>
        <v>0</v>
      </c>
      <c r="P82" s="252">
        <f>+WPF_bazowy!P82+Symulacja!P10</f>
        <v>0</v>
      </c>
      <c r="Q82" s="252">
        <f>+WPF_bazowy!Q82+Symulacja!Q10</f>
        <v>0</v>
      </c>
      <c r="R82" s="252">
        <f>+WPF_bazowy!R82+Symulacja!R10</f>
        <v>0</v>
      </c>
      <c r="S82" s="252">
        <f>+WPF_bazowy!S82+Symulacja!S10</f>
        <v>0</v>
      </c>
      <c r="T82" s="252">
        <f>+WPF_bazowy!T82+Symulacja!T10</f>
        <v>0</v>
      </c>
      <c r="U82" s="252">
        <f>+WPF_bazowy!U82+Symulacja!U10</f>
        <v>0</v>
      </c>
      <c r="V82" s="252">
        <f>+WPF_bazowy!V82+Symulacja!V10</f>
        <v>0</v>
      </c>
      <c r="W82" s="252">
        <f>+WPF_bazowy!W82+Symulacja!W10</f>
        <v>0</v>
      </c>
      <c r="X82" s="252">
        <f>+WPF_bazowy!X82+Symulacja!X10</f>
        <v>0</v>
      </c>
      <c r="Y82" s="252">
        <f>+WPF_bazowy!Y82+Symulacja!Y10</f>
        <v>0</v>
      </c>
      <c r="Z82" s="252">
        <f>+WPF_bazowy!Z82+Symulacja!Z10</f>
        <v>0</v>
      </c>
      <c r="AA82" s="252">
        <f>+WPF_bazowy!AA82+Symulacja!AA10</f>
        <v>0</v>
      </c>
      <c r="AB82" s="252">
        <f>+WPF_bazowy!AB82+Symulacja!AB10</f>
        <v>0</v>
      </c>
      <c r="AC82" s="252">
        <f>+WPF_bazowy!AC82+Symulacja!AC10</f>
        <v>0</v>
      </c>
      <c r="AD82" s="252">
        <f>+WPF_bazowy!AD82+Symulacja!AD10</f>
        <v>0</v>
      </c>
      <c r="AE82" s="252">
        <f>+WPF_bazowy!AE82+Symulacja!AE10</f>
        <v>0</v>
      </c>
      <c r="AF82" s="252">
        <f>+WPF_bazowy!AF82+Symulacja!AF10</f>
        <v>0</v>
      </c>
      <c r="AG82" s="252">
        <f>+WPF_bazowy!AG82+Symulacja!AG10</f>
        <v>0</v>
      </c>
      <c r="AH82" s="252">
        <f>+WPF_bazowy!AH82+Symulacja!AH10</f>
        <v>0</v>
      </c>
      <c r="AI82" s="252">
        <f>+WPF_bazowy!AI82+Symulacja!AI10</f>
        <v>0</v>
      </c>
      <c r="AJ82" s="252">
        <f>+WPF_bazowy!AJ82+Symulacja!AJ10</f>
        <v>0</v>
      </c>
      <c r="AK82" s="252">
        <f>+WPF_bazowy!AK82+Symulacja!AK10</f>
        <v>0</v>
      </c>
      <c r="AL82" s="252">
        <f>+WPF_bazowy!AL82+Symulacja!AL10</f>
        <v>0</v>
      </c>
      <c r="AM82" s="252">
        <f>+WPF_bazowy!AM82+Symulacja!AM10</f>
        <v>0</v>
      </c>
      <c r="AN82" s="252">
        <f>+WPF_bazowy!AN82+Symulacja!AN10</f>
        <v>0</v>
      </c>
      <c r="AO82" s="252">
        <f>+WPF_bazowy!AO82+Symulacja!AO10</f>
        <v>0</v>
      </c>
      <c r="AP82" s="252">
        <f>+WPF_bazowy!AP82+Symulacja!AP10</f>
        <v>0</v>
      </c>
      <c r="AQ82" s="252">
        <f>+WPF_bazowy!AQ82+Symulacja!AQ10</f>
        <v>0</v>
      </c>
      <c r="AR82" s="252">
        <f>+WPF_bazowy!AR82+Symulacja!AR10</f>
        <v>0</v>
      </c>
      <c r="AS82" s="252">
        <f>+WPF_bazowy!AS82+Symulacja!AS10</f>
        <v>0</v>
      </c>
      <c r="AT82" s="252">
        <f>+WPF_bazowy!AT82+Symulacja!AT10</f>
        <v>0</v>
      </c>
      <c r="AU82" s="252">
        <f>+WPF_bazowy!AU82+Symulacja!AU10</f>
        <v>0</v>
      </c>
      <c r="AV82" s="252">
        <f>+WPF_bazowy!AV82+Symulacja!AV10</f>
        <v>0</v>
      </c>
      <c r="AW82" s="252">
        <f>+WPF_bazowy!AW82+Symulacja!AW10</f>
        <v>0</v>
      </c>
      <c r="AX82" s="252">
        <f>+WPF_bazowy!AX82+Symulacja!AX10</f>
        <v>0</v>
      </c>
      <c r="AY82" s="252">
        <f>+WPF_bazowy!AY82+Symulacja!AY10</f>
        <v>0</v>
      </c>
      <c r="AZ82" s="252">
        <f>+WPF_bazowy!AZ82+Symulacja!AZ10</f>
        <v>0</v>
      </c>
      <c r="BA82" s="253">
        <f>+WPF_bazowy!BA82+Symulacja!BA10</f>
        <v>0</v>
      </c>
    </row>
    <row r="83" spans="1:53" outlineLevel="3">
      <c r="C83" s="162" t="s">
        <v>286</v>
      </c>
      <c r="D83" s="169"/>
      <c r="E83" s="233" t="s">
        <v>337</v>
      </c>
      <c r="F83" s="164">
        <f>+WPF_bazowy!F83</f>
        <v>0</v>
      </c>
      <c r="G83" s="164">
        <f>+WPF_bazowy!G83</f>
        <v>0</v>
      </c>
      <c r="H83" s="164">
        <f>+WPF_bazowy!H83</f>
        <v>0</v>
      </c>
      <c r="I83" s="164">
        <f>+WPF_bazowy!I83</f>
        <v>2964071.43</v>
      </c>
      <c r="J83" s="164">
        <f>+WPF_bazowy!J83</f>
        <v>6114655.1699999999</v>
      </c>
      <c r="K83" s="165">
        <f>+WPF_bazowy!K83</f>
        <v>3012293.07</v>
      </c>
      <c r="L83" s="165">
        <f>+WPF_bazowy!L83</f>
        <v>0</v>
      </c>
      <c r="M83" s="250">
        <f>+WPF_bazowy!M83</f>
        <v>0</v>
      </c>
      <c r="N83" s="251">
        <f>+WPF_bazowy!N83</f>
        <v>2790427</v>
      </c>
      <c r="O83" s="252">
        <f>+WPF_bazowy!O83</f>
        <v>0</v>
      </c>
      <c r="P83" s="252">
        <f>+WPF_bazowy!P83</f>
        <v>0</v>
      </c>
      <c r="Q83" s="252">
        <f>+WPF_bazowy!Q83</f>
        <v>0</v>
      </c>
      <c r="R83" s="252">
        <f>+WPF_bazowy!R83</f>
        <v>0</v>
      </c>
      <c r="S83" s="252">
        <f>+WPF_bazowy!S83</f>
        <v>0</v>
      </c>
      <c r="T83" s="252">
        <f>+WPF_bazowy!T83</f>
        <v>0</v>
      </c>
      <c r="U83" s="252">
        <f>+WPF_bazowy!U83</f>
        <v>0</v>
      </c>
      <c r="V83" s="252">
        <f>+WPF_bazowy!V83</f>
        <v>0</v>
      </c>
      <c r="W83" s="252">
        <f>+WPF_bazowy!W83</f>
        <v>0</v>
      </c>
      <c r="X83" s="252">
        <f>+WPF_bazowy!X83</f>
        <v>0</v>
      </c>
      <c r="Y83" s="252">
        <f>+WPF_bazowy!Y83</f>
        <v>0</v>
      </c>
      <c r="Z83" s="252">
        <f>+WPF_bazowy!Z83</f>
        <v>0</v>
      </c>
      <c r="AA83" s="252">
        <f>+WPF_bazowy!AA83</f>
        <v>0</v>
      </c>
      <c r="AB83" s="252">
        <f>+WPF_bazowy!AB83</f>
        <v>0</v>
      </c>
      <c r="AC83" s="252">
        <f>+WPF_bazowy!AC83</f>
        <v>0</v>
      </c>
      <c r="AD83" s="252">
        <f>+WPF_bazowy!AD83</f>
        <v>0</v>
      </c>
      <c r="AE83" s="252">
        <f>+WPF_bazowy!AE83</f>
        <v>0</v>
      </c>
      <c r="AF83" s="252">
        <f>+WPF_bazowy!AF83</f>
        <v>0</v>
      </c>
      <c r="AG83" s="252">
        <f>+WPF_bazowy!AG83</f>
        <v>0</v>
      </c>
      <c r="AH83" s="252">
        <f>+WPF_bazowy!AH83</f>
        <v>0</v>
      </c>
      <c r="AI83" s="252">
        <f>+WPF_bazowy!AI83</f>
        <v>0</v>
      </c>
      <c r="AJ83" s="252">
        <f>+WPF_bazowy!AJ83</f>
        <v>0</v>
      </c>
      <c r="AK83" s="252">
        <f>+WPF_bazowy!AK83</f>
        <v>0</v>
      </c>
      <c r="AL83" s="252">
        <f>+WPF_bazowy!AL83</f>
        <v>0</v>
      </c>
      <c r="AM83" s="252">
        <f>+WPF_bazowy!AM83</f>
        <v>0</v>
      </c>
      <c r="AN83" s="252">
        <f>+WPF_bazowy!AN83</f>
        <v>0</v>
      </c>
      <c r="AO83" s="252">
        <f>+WPF_bazowy!AO83</f>
        <v>0</v>
      </c>
      <c r="AP83" s="252">
        <f>+WPF_bazowy!AP83</f>
        <v>0</v>
      </c>
      <c r="AQ83" s="252">
        <f>+WPF_bazowy!AQ83</f>
        <v>0</v>
      </c>
      <c r="AR83" s="252">
        <f>+WPF_bazowy!AR83</f>
        <v>0</v>
      </c>
      <c r="AS83" s="252">
        <f>+WPF_bazowy!AS83</f>
        <v>0</v>
      </c>
      <c r="AT83" s="252">
        <f>+WPF_bazowy!AT83</f>
        <v>0</v>
      </c>
      <c r="AU83" s="252">
        <f>+WPF_bazowy!AU83</f>
        <v>0</v>
      </c>
      <c r="AV83" s="252">
        <f>+WPF_bazowy!AV83</f>
        <v>0</v>
      </c>
      <c r="AW83" s="252">
        <f>+WPF_bazowy!AW83</f>
        <v>0</v>
      </c>
      <c r="AX83" s="252">
        <f>+WPF_bazowy!AX83</f>
        <v>0</v>
      </c>
      <c r="AY83" s="252">
        <f>+WPF_bazowy!AY83</f>
        <v>0</v>
      </c>
      <c r="AZ83" s="252">
        <f>+WPF_bazowy!AZ83</f>
        <v>0</v>
      </c>
      <c r="BA83" s="253">
        <f>+WPF_bazowy!BA83</f>
        <v>0</v>
      </c>
    </row>
    <row r="84" spans="1:53" ht="27" outlineLevel="1">
      <c r="C84" s="219" t="s">
        <v>68</v>
      </c>
      <c r="D84" s="220"/>
      <c r="E84" s="234" t="s">
        <v>97</v>
      </c>
      <c r="F84" s="164">
        <f>+WPF_bazowy!F84+Symulacja!F14</f>
        <v>237676.52</v>
      </c>
      <c r="G84" s="164">
        <f>+WPF_bazowy!G84+Symulacja!G14</f>
        <v>108334.58</v>
      </c>
      <c r="H84" s="164">
        <f>+WPF_bazowy!H84+Symulacja!H14</f>
        <v>487486.11</v>
      </c>
      <c r="I84" s="164">
        <f>+WPF_bazowy!I84+Symulacja!I14</f>
        <v>689422.95</v>
      </c>
      <c r="J84" s="164">
        <f>+WPF_bazowy!J84+Symulacja!J14</f>
        <v>1063912.55</v>
      </c>
      <c r="K84" s="165">
        <f>+WPF_bazowy!K84+Symulacja!K14</f>
        <v>1006299.17</v>
      </c>
      <c r="L84" s="165">
        <f>+WPF_bazowy!L84+Symulacja!L14</f>
        <v>1795521</v>
      </c>
      <c r="M84" s="250">
        <f>+WPF_bazowy!M84+Symulacja!M14</f>
        <v>564903.88</v>
      </c>
      <c r="N84" s="251">
        <f>+WPF_bazowy!N84+Symulacja!N14</f>
        <v>2312536</v>
      </c>
      <c r="O84" s="252">
        <f>+WPF_bazowy!O84+Symulacja!O14</f>
        <v>418220</v>
      </c>
      <c r="P84" s="252">
        <f>+WPF_bazowy!P84+Symulacja!P14</f>
        <v>0</v>
      </c>
      <c r="Q84" s="252">
        <f>+WPF_bazowy!Q84+Symulacja!Q14</f>
        <v>0</v>
      </c>
      <c r="R84" s="252">
        <f>+WPF_bazowy!R84+Symulacja!R14</f>
        <v>0</v>
      </c>
      <c r="S84" s="252">
        <f>+WPF_bazowy!S84+Symulacja!S14</f>
        <v>0</v>
      </c>
      <c r="T84" s="252">
        <f>+WPF_bazowy!T84+Symulacja!T14</f>
        <v>0</v>
      </c>
      <c r="U84" s="252">
        <f>+WPF_bazowy!U84+Symulacja!U14</f>
        <v>0</v>
      </c>
      <c r="V84" s="252">
        <f>+WPF_bazowy!V84+Symulacja!V14</f>
        <v>0</v>
      </c>
      <c r="W84" s="252">
        <f>+WPF_bazowy!W84+Symulacja!W14</f>
        <v>0</v>
      </c>
      <c r="X84" s="252">
        <f>+WPF_bazowy!X84+Symulacja!X14</f>
        <v>0</v>
      </c>
      <c r="Y84" s="252">
        <f>+WPF_bazowy!Y84+Symulacja!Y14</f>
        <v>0</v>
      </c>
      <c r="Z84" s="252">
        <f>+WPF_bazowy!Z84+Symulacja!Z14</f>
        <v>0</v>
      </c>
      <c r="AA84" s="252">
        <f>+WPF_bazowy!AA84+Symulacja!AA14</f>
        <v>0</v>
      </c>
      <c r="AB84" s="252">
        <f>+WPF_bazowy!AB84+Symulacja!AB14</f>
        <v>0</v>
      </c>
      <c r="AC84" s="252">
        <f>+WPF_bazowy!AC84+Symulacja!AC14</f>
        <v>0</v>
      </c>
      <c r="AD84" s="252">
        <f>+WPF_bazowy!AD84+Symulacja!AD14</f>
        <v>0</v>
      </c>
      <c r="AE84" s="252">
        <f>+WPF_bazowy!AE84+Symulacja!AE14</f>
        <v>0</v>
      </c>
      <c r="AF84" s="252">
        <f>+WPF_bazowy!AF84+Symulacja!AF14</f>
        <v>0</v>
      </c>
      <c r="AG84" s="252">
        <f>+WPF_bazowy!AG84+Symulacja!AG14</f>
        <v>0</v>
      </c>
      <c r="AH84" s="252">
        <f>+WPF_bazowy!AH84+Symulacja!AH14</f>
        <v>0</v>
      </c>
      <c r="AI84" s="252">
        <f>+WPF_bazowy!AI84+Symulacja!AI14</f>
        <v>0</v>
      </c>
      <c r="AJ84" s="252">
        <f>+WPF_bazowy!AJ84+Symulacja!AJ14</f>
        <v>0</v>
      </c>
      <c r="AK84" s="252">
        <f>+WPF_bazowy!AK84+Symulacja!AK14</f>
        <v>0</v>
      </c>
      <c r="AL84" s="252">
        <f>+WPF_bazowy!AL84+Symulacja!AL14</f>
        <v>0</v>
      </c>
      <c r="AM84" s="252">
        <f>+WPF_bazowy!AM84+Symulacja!AM14</f>
        <v>0</v>
      </c>
      <c r="AN84" s="252">
        <f>+WPF_bazowy!AN84+Symulacja!AN14</f>
        <v>0</v>
      </c>
      <c r="AO84" s="252">
        <f>+WPF_bazowy!AO84+Symulacja!AO14</f>
        <v>0</v>
      </c>
      <c r="AP84" s="252">
        <f>+WPF_bazowy!AP84+Symulacja!AP14</f>
        <v>0</v>
      </c>
      <c r="AQ84" s="252">
        <f>+WPF_bazowy!AQ84+Symulacja!AQ14</f>
        <v>0</v>
      </c>
      <c r="AR84" s="252">
        <f>+WPF_bazowy!AR84+Symulacja!AR14</f>
        <v>0</v>
      </c>
      <c r="AS84" s="252">
        <f>+WPF_bazowy!AS84+Symulacja!AS14</f>
        <v>0</v>
      </c>
      <c r="AT84" s="252">
        <f>+WPF_bazowy!AT84+Symulacja!AT14</f>
        <v>0</v>
      </c>
      <c r="AU84" s="252">
        <f>+WPF_bazowy!AU84+Symulacja!AU14</f>
        <v>0</v>
      </c>
      <c r="AV84" s="252">
        <f>+WPF_bazowy!AV84+Symulacja!AV14</f>
        <v>0</v>
      </c>
      <c r="AW84" s="252">
        <f>+WPF_bazowy!AW84+Symulacja!AW14</f>
        <v>0</v>
      </c>
      <c r="AX84" s="252">
        <f>+WPF_bazowy!AX84+Symulacja!AX14</f>
        <v>0</v>
      </c>
      <c r="AY84" s="252">
        <f>+WPF_bazowy!AY84+Symulacja!AY14</f>
        <v>0</v>
      </c>
      <c r="AZ84" s="252">
        <f>+WPF_bazowy!AZ84+Symulacja!AZ14</f>
        <v>0</v>
      </c>
      <c r="BA84" s="253">
        <f>+WPF_bazowy!BA84+Symulacja!BA14</f>
        <v>0</v>
      </c>
    </row>
    <row r="85" spans="1:53" ht="27" outlineLevel="2">
      <c r="A85" s="127" t="s">
        <v>27</v>
      </c>
      <c r="B85" s="238" t="s">
        <v>27</v>
      </c>
      <c r="C85" s="219" t="s">
        <v>287</v>
      </c>
      <c r="D85" s="220"/>
      <c r="E85" s="217" t="s">
        <v>340</v>
      </c>
      <c r="F85" s="164">
        <f>+WPF_bazowy!F85+Symulacja!F14</f>
        <v>237676.52</v>
      </c>
      <c r="G85" s="164">
        <f>+WPF_bazowy!G85+Symulacja!G14</f>
        <v>108334.58</v>
      </c>
      <c r="H85" s="164">
        <f>+WPF_bazowy!H85+Symulacja!H14</f>
        <v>487486.11</v>
      </c>
      <c r="I85" s="164">
        <f>+WPF_bazowy!I85+Symulacja!I14</f>
        <v>689422.95</v>
      </c>
      <c r="J85" s="164">
        <f>+WPF_bazowy!J85+Symulacja!J14</f>
        <v>1063912.55</v>
      </c>
      <c r="K85" s="165">
        <f>+WPF_bazowy!K85+Symulacja!K14</f>
        <v>1006299.17</v>
      </c>
      <c r="L85" s="165">
        <f>+WPF_bazowy!L85+Symulacja!L14</f>
        <v>1795521</v>
      </c>
      <c r="M85" s="250">
        <f>+WPF_bazowy!M85+Symulacja!M14</f>
        <v>564903.88</v>
      </c>
      <c r="N85" s="251">
        <f>+WPF_bazowy!N85+Symulacja!N14</f>
        <v>2312536</v>
      </c>
      <c r="O85" s="252">
        <f>+WPF_bazowy!O85+Symulacja!O14</f>
        <v>418220</v>
      </c>
      <c r="P85" s="252">
        <f>+WPF_bazowy!P85+Symulacja!P14</f>
        <v>0</v>
      </c>
      <c r="Q85" s="252">
        <f>+WPF_bazowy!Q85+Symulacja!Q14</f>
        <v>0</v>
      </c>
      <c r="R85" s="252">
        <f>+WPF_bazowy!R85+Symulacja!R14</f>
        <v>0</v>
      </c>
      <c r="S85" s="252">
        <f>+WPF_bazowy!S85+Symulacja!S14</f>
        <v>0</v>
      </c>
      <c r="T85" s="252">
        <f>+WPF_bazowy!T85+Symulacja!T14</f>
        <v>0</v>
      </c>
      <c r="U85" s="252">
        <f>+WPF_bazowy!U85+Symulacja!U14</f>
        <v>0</v>
      </c>
      <c r="V85" s="252">
        <f>+WPF_bazowy!V85+Symulacja!V14</f>
        <v>0</v>
      </c>
      <c r="W85" s="252">
        <f>+WPF_bazowy!W85+Symulacja!W14</f>
        <v>0</v>
      </c>
      <c r="X85" s="252">
        <f>+WPF_bazowy!X85+Symulacja!X14</f>
        <v>0</v>
      </c>
      <c r="Y85" s="252">
        <f>+WPF_bazowy!Y85+Symulacja!Y14</f>
        <v>0</v>
      </c>
      <c r="Z85" s="252">
        <f>+WPF_bazowy!Z85+Symulacja!Z14</f>
        <v>0</v>
      </c>
      <c r="AA85" s="252">
        <f>+WPF_bazowy!AA85+Symulacja!AA14</f>
        <v>0</v>
      </c>
      <c r="AB85" s="252">
        <f>+WPF_bazowy!AB85+Symulacja!AB14</f>
        <v>0</v>
      </c>
      <c r="AC85" s="252">
        <f>+WPF_bazowy!AC85+Symulacja!AC14</f>
        <v>0</v>
      </c>
      <c r="AD85" s="252">
        <f>+WPF_bazowy!AD85+Symulacja!AD14</f>
        <v>0</v>
      </c>
      <c r="AE85" s="252">
        <f>+WPF_bazowy!AE85+Symulacja!AE14</f>
        <v>0</v>
      </c>
      <c r="AF85" s="252">
        <f>+WPF_bazowy!AF85+Symulacja!AF14</f>
        <v>0</v>
      </c>
      <c r="AG85" s="252">
        <f>+WPF_bazowy!AG85+Symulacja!AG14</f>
        <v>0</v>
      </c>
      <c r="AH85" s="252">
        <f>+WPF_bazowy!AH85+Symulacja!AH14</f>
        <v>0</v>
      </c>
      <c r="AI85" s="252">
        <f>+WPF_bazowy!AI85+Symulacja!AI14</f>
        <v>0</v>
      </c>
      <c r="AJ85" s="252">
        <f>+WPF_bazowy!AJ85+Symulacja!AJ14</f>
        <v>0</v>
      </c>
      <c r="AK85" s="252">
        <f>+WPF_bazowy!AK85+Symulacja!AK14</f>
        <v>0</v>
      </c>
      <c r="AL85" s="252">
        <f>+WPF_bazowy!AL85+Symulacja!AL14</f>
        <v>0</v>
      </c>
      <c r="AM85" s="252">
        <f>+WPF_bazowy!AM85+Symulacja!AM14</f>
        <v>0</v>
      </c>
      <c r="AN85" s="252">
        <f>+WPF_bazowy!AN85+Symulacja!AN14</f>
        <v>0</v>
      </c>
      <c r="AO85" s="252">
        <f>+WPF_bazowy!AO85+Symulacja!AO14</f>
        <v>0</v>
      </c>
      <c r="AP85" s="252">
        <f>+WPF_bazowy!AP85+Symulacja!AP14</f>
        <v>0</v>
      </c>
      <c r="AQ85" s="252">
        <f>+WPF_bazowy!AQ85+Symulacja!AQ14</f>
        <v>0</v>
      </c>
      <c r="AR85" s="252">
        <f>+WPF_bazowy!AR85+Symulacja!AR14</f>
        <v>0</v>
      </c>
      <c r="AS85" s="252">
        <f>+WPF_bazowy!AS85+Symulacja!AS14</f>
        <v>0</v>
      </c>
      <c r="AT85" s="252">
        <f>+WPF_bazowy!AT85+Symulacja!AT14</f>
        <v>0</v>
      </c>
      <c r="AU85" s="252">
        <f>+WPF_bazowy!AU85+Symulacja!AU14</f>
        <v>0</v>
      </c>
      <c r="AV85" s="252">
        <f>+WPF_bazowy!AV85+Symulacja!AV14</f>
        <v>0</v>
      </c>
      <c r="AW85" s="252">
        <f>+WPF_bazowy!AW85+Symulacja!AW14</f>
        <v>0</v>
      </c>
      <c r="AX85" s="252">
        <f>+WPF_bazowy!AX85+Symulacja!AX14</f>
        <v>0</v>
      </c>
      <c r="AY85" s="252">
        <f>+WPF_bazowy!AY85+Symulacja!AY14</f>
        <v>0</v>
      </c>
      <c r="AZ85" s="252">
        <f>+WPF_bazowy!AZ85+Symulacja!AZ14</f>
        <v>0</v>
      </c>
      <c r="BA85" s="253">
        <f>+WPF_bazowy!BA85+Symulacja!BA14</f>
        <v>0</v>
      </c>
    </row>
    <row r="86" spans="1:53" outlineLevel="3">
      <c r="C86" s="162" t="s">
        <v>288</v>
      </c>
      <c r="D86" s="169"/>
      <c r="E86" s="233" t="s">
        <v>341</v>
      </c>
      <c r="F86" s="164">
        <f>+WPF_bazowy!F86</f>
        <v>208161.56</v>
      </c>
      <c r="G86" s="164">
        <f>+WPF_bazowy!G86</f>
        <v>108334.58</v>
      </c>
      <c r="H86" s="164">
        <f>+WPF_bazowy!H86</f>
        <v>480432.14</v>
      </c>
      <c r="I86" s="164">
        <f>+WPF_bazowy!I86</f>
        <v>657933.44999999995</v>
      </c>
      <c r="J86" s="164">
        <f>+WPF_bazowy!J86</f>
        <v>1029959.57</v>
      </c>
      <c r="K86" s="165">
        <f>+WPF_bazowy!K86</f>
        <v>949446.24</v>
      </c>
      <c r="L86" s="165">
        <f>+WPF_bazowy!L86</f>
        <v>1789907</v>
      </c>
      <c r="M86" s="250">
        <f>+WPF_bazowy!M86</f>
        <v>560891.5</v>
      </c>
      <c r="N86" s="164">
        <f>+WPF_bazowy!N86</f>
        <v>2312536</v>
      </c>
      <c r="O86" s="165">
        <f>+WPF_bazowy!O86</f>
        <v>418220</v>
      </c>
      <c r="P86" s="165">
        <f>+WPF_bazowy!P86</f>
        <v>0</v>
      </c>
      <c r="Q86" s="165">
        <f>+WPF_bazowy!Q86</f>
        <v>0</v>
      </c>
      <c r="R86" s="165">
        <f>+WPF_bazowy!R86</f>
        <v>0</v>
      </c>
      <c r="S86" s="165">
        <f>+WPF_bazowy!S86</f>
        <v>0</v>
      </c>
      <c r="T86" s="165">
        <f>+WPF_bazowy!T86</f>
        <v>0</v>
      </c>
      <c r="U86" s="165">
        <f>+WPF_bazowy!U86</f>
        <v>0</v>
      </c>
      <c r="V86" s="165">
        <f>+WPF_bazowy!V86</f>
        <v>0</v>
      </c>
      <c r="W86" s="165">
        <f>+WPF_bazowy!W86</f>
        <v>0</v>
      </c>
      <c r="X86" s="165">
        <f>+WPF_bazowy!X86</f>
        <v>0</v>
      </c>
      <c r="Y86" s="165">
        <f>+WPF_bazowy!Y86</f>
        <v>0</v>
      </c>
      <c r="Z86" s="165">
        <f>+WPF_bazowy!Z86</f>
        <v>0</v>
      </c>
      <c r="AA86" s="165">
        <f>+WPF_bazowy!AA86</f>
        <v>0</v>
      </c>
      <c r="AB86" s="165">
        <f>+WPF_bazowy!AB86</f>
        <v>0</v>
      </c>
      <c r="AC86" s="165">
        <f>+WPF_bazowy!AC86</f>
        <v>0</v>
      </c>
      <c r="AD86" s="165">
        <f>+WPF_bazowy!AD86</f>
        <v>0</v>
      </c>
      <c r="AE86" s="165">
        <f>+WPF_bazowy!AE86</f>
        <v>0</v>
      </c>
      <c r="AF86" s="165">
        <f>+WPF_bazowy!AF86</f>
        <v>0</v>
      </c>
      <c r="AG86" s="165">
        <f>+WPF_bazowy!AG86</f>
        <v>0</v>
      </c>
      <c r="AH86" s="165">
        <f>+WPF_bazowy!AH86</f>
        <v>0</v>
      </c>
      <c r="AI86" s="165">
        <f>+WPF_bazowy!AI86</f>
        <v>0</v>
      </c>
      <c r="AJ86" s="165">
        <f>+WPF_bazowy!AJ86</f>
        <v>0</v>
      </c>
      <c r="AK86" s="165">
        <f>+WPF_bazowy!AK86</f>
        <v>0</v>
      </c>
      <c r="AL86" s="165">
        <f>+WPF_bazowy!AL86</f>
        <v>0</v>
      </c>
      <c r="AM86" s="165">
        <f>+WPF_bazowy!AM86</f>
        <v>0</v>
      </c>
      <c r="AN86" s="165">
        <f>+WPF_bazowy!AN86</f>
        <v>0</v>
      </c>
      <c r="AO86" s="165">
        <f>+WPF_bazowy!AO86</f>
        <v>0</v>
      </c>
      <c r="AP86" s="165">
        <f>+WPF_bazowy!AP86</f>
        <v>0</v>
      </c>
      <c r="AQ86" s="165">
        <f>+WPF_bazowy!AQ86</f>
        <v>0</v>
      </c>
      <c r="AR86" s="165">
        <f>+WPF_bazowy!AR86</f>
        <v>0</v>
      </c>
      <c r="AS86" s="165">
        <f>+WPF_bazowy!AS86</f>
        <v>0</v>
      </c>
      <c r="AT86" s="165">
        <f>+WPF_bazowy!AT86</f>
        <v>0</v>
      </c>
      <c r="AU86" s="165">
        <f>+WPF_bazowy!AU86</f>
        <v>0</v>
      </c>
      <c r="AV86" s="165">
        <f>+WPF_bazowy!AV86</f>
        <v>0</v>
      </c>
      <c r="AW86" s="165">
        <f>+WPF_bazowy!AW86</f>
        <v>0</v>
      </c>
      <c r="AX86" s="165">
        <f>+WPF_bazowy!AX86</f>
        <v>0</v>
      </c>
      <c r="AY86" s="165">
        <f>+WPF_bazowy!AY86</f>
        <v>0</v>
      </c>
      <c r="AZ86" s="165">
        <f>+WPF_bazowy!AZ86</f>
        <v>0</v>
      </c>
      <c r="BA86" s="178">
        <f>+WPF_bazowy!BA86</f>
        <v>0</v>
      </c>
    </row>
    <row r="87" spans="1:53" ht="27" outlineLevel="1">
      <c r="C87" s="162" t="s">
        <v>69</v>
      </c>
      <c r="D87" s="169"/>
      <c r="E87" s="231" t="s">
        <v>98</v>
      </c>
      <c r="F87" s="164">
        <f>+WPF_bazowy!F87+Symulacja!F17</f>
        <v>0</v>
      </c>
      <c r="G87" s="164">
        <f>+WPF_bazowy!G87+Symulacja!G17</f>
        <v>0</v>
      </c>
      <c r="H87" s="164">
        <f>+WPF_bazowy!H87+Symulacja!H17</f>
        <v>467439.15</v>
      </c>
      <c r="I87" s="164">
        <f>+WPF_bazowy!I87+Symulacja!I17</f>
        <v>6354529.5599999996</v>
      </c>
      <c r="J87" s="164">
        <f>+WPF_bazowy!J87+Symulacja!J17</f>
        <v>7207655.0300000003</v>
      </c>
      <c r="K87" s="165">
        <f>+WPF_bazowy!K87+Symulacja!K17</f>
        <v>2270257.9700000002</v>
      </c>
      <c r="L87" s="165">
        <f>+WPF_bazowy!L87+Symulacja!L17</f>
        <v>0</v>
      </c>
      <c r="M87" s="250">
        <f>+WPF_bazowy!M87+Symulacja!M17</f>
        <v>0</v>
      </c>
      <c r="N87" s="164">
        <f>+WPF_bazowy!N87+Symulacja!N17</f>
        <v>0</v>
      </c>
      <c r="O87" s="165">
        <f>+WPF_bazowy!O87+Symulacja!O17</f>
        <v>1000000</v>
      </c>
      <c r="P87" s="165">
        <f>+WPF_bazowy!P87+Symulacja!P17</f>
        <v>0</v>
      </c>
      <c r="Q87" s="165">
        <f>+WPF_bazowy!Q87+Symulacja!Q17</f>
        <v>0</v>
      </c>
      <c r="R87" s="165">
        <f>+WPF_bazowy!R87+Symulacja!R17</f>
        <v>0</v>
      </c>
      <c r="S87" s="165">
        <f>+WPF_bazowy!S87+Symulacja!S17</f>
        <v>0</v>
      </c>
      <c r="T87" s="165">
        <f>+WPF_bazowy!T87+Symulacja!T17</f>
        <v>0</v>
      </c>
      <c r="U87" s="165">
        <f>+WPF_bazowy!U87+Symulacja!U17</f>
        <v>0</v>
      </c>
      <c r="V87" s="165">
        <f>+WPF_bazowy!V87+Symulacja!V17</f>
        <v>0</v>
      </c>
      <c r="W87" s="165">
        <f>+WPF_bazowy!W87+Symulacja!W17</f>
        <v>0</v>
      </c>
      <c r="X87" s="165">
        <f>+WPF_bazowy!X87+Symulacja!X17</f>
        <v>0</v>
      </c>
      <c r="Y87" s="165">
        <f>+WPF_bazowy!Y87+Symulacja!Y17</f>
        <v>0</v>
      </c>
      <c r="Z87" s="165">
        <f>+WPF_bazowy!Z87+Symulacja!Z17</f>
        <v>0</v>
      </c>
      <c r="AA87" s="165">
        <f>+WPF_bazowy!AA87+Symulacja!AA17</f>
        <v>0</v>
      </c>
      <c r="AB87" s="165">
        <f>+WPF_bazowy!AB87+Symulacja!AB17</f>
        <v>0</v>
      </c>
      <c r="AC87" s="165">
        <f>+WPF_bazowy!AC87+Symulacja!AC17</f>
        <v>0</v>
      </c>
      <c r="AD87" s="165">
        <f>+WPF_bazowy!AD87+Symulacja!AD17</f>
        <v>0</v>
      </c>
      <c r="AE87" s="165">
        <f>+WPF_bazowy!AE87+Symulacja!AE17</f>
        <v>0</v>
      </c>
      <c r="AF87" s="165">
        <f>+WPF_bazowy!AF87+Symulacja!AF17</f>
        <v>0</v>
      </c>
      <c r="AG87" s="165">
        <f>+WPF_bazowy!AG87+Symulacja!AG17</f>
        <v>0</v>
      </c>
      <c r="AH87" s="165">
        <f>+WPF_bazowy!AH87+Symulacja!AH17</f>
        <v>0</v>
      </c>
      <c r="AI87" s="165">
        <f>+WPF_bazowy!AI87+Symulacja!AI17</f>
        <v>0</v>
      </c>
      <c r="AJ87" s="165">
        <f>+WPF_bazowy!AJ87+Symulacja!AJ17</f>
        <v>0</v>
      </c>
      <c r="AK87" s="165">
        <f>+WPF_bazowy!AK87+Symulacja!AK17</f>
        <v>0</v>
      </c>
      <c r="AL87" s="165">
        <f>+WPF_bazowy!AL87+Symulacja!AL17</f>
        <v>0</v>
      </c>
      <c r="AM87" s="165">
        <f>+WPF_bazowy!AM87+Symulacja!AM17</f>
        <v>0</v>
      </c>
      <c r="AN87" s="165">
        <f>+WPF_bazowy!AN87+Symulacja!AN17</f>
        <v>0</v>
      </c>
      <c r="AO87" s="165">
        <f>+WPF_bazowy!AO87+Symulacja!AO17</f>
        <v>0</v>
      </c>
      <c r="AP87" s="165">
        <f>+WPF_bazowy!AP87+Symulacja!AP17</f>
        <v>0</v>
      </c>
      <c r="AQ87" s="165">
        <f>+WPF_bazowy!AQ87+Symulacja!AQ17</f>
        <v>0</v>
      </c>
      <c r="AR87" s="165">
        <f>+WPF_bazowy!AR87+Symulacja!AR17</f>
        <v>0</v>
      </c>
      <c r="AS87" s="165">
        <f>+WPF_bazowy!AS87+Symulacja!AS17</f>
        <v>0</v>
      </c>
      <c r="AT87" s="165">
        <f>+WPF_bazowy!AT87+Symulacja!AT17</f>
        <v>0</v>
      </c>
      <c r="AU87" s="165">
        <f>+WPF_bazowy!AU87+Symulacja!AU17</f>
        <v>0</v>
      </c>
      <c r="AV87" s="165">
        <f>+WPF_bazowy!AV87+Symulacja!AV17</f>
        <v>0</v>
      </c>
      <c r="AW87" s="165">
        <f>+WPF_bazowy!AW87+Symulacja!AW17</f>
        <v>0</v>
      </c>
      <c r="AX87" s="165">
        <f>+WPF_bazowy!AX87+Symulacja!AX17</f>
        <v>0</v>
      </c>
      <c r="AY87" s="165">
        <f>+WPF_bazowy!AY87+Symulacja!AY17</f>
        <v>0</v>
      </c>
      <c r="AZ87" s="165">
        <f>+WPF_bazowy!AZ87+Symulacja!AZ17</f>
        <v>0</v>
      </c>
      <c r="BA87" s="178">
        <f>+WPF_bazowy!BA87+Symulacja!BA17</f>
        <v>0</v>
      </c>
    </row>
    <row r="88" spans="1:53" ht="27" outlineLevel="2">
      <c r="C88" s="162" t="s">
        <v>289</v>
      </c>
      <c r="D88" s="169"/>
      <c r="E88" s="213" t="s">
        <v>342</v>
      </c>
      <c r="F88" s="164">
        <f>+WPF_bazowy!F88+Symulacja!F17</f>
        <v>0</v>
      </c>
      <c r="G88" s="164">
        <f>+WPF_bazowy!G88+Symulacja!G17</f>
        <v>0</v>
      </c>
      <c r="H88" s="164">
        <f>+WPF_bazowy!H88+Symulacja!H17</f>
        <v>467439.15</v>
      </c>
      <c r="I88" s="164">
        <f>+WPF_bazowy!I88+Symulacja!I17</f>
        <v>6354529.5599999996</v>
      </c>
      <c r="J88" s="164">
        <f>+WPF_bazowy!J88+Symulacja!J17</f>
        <v>7207655.0300000003</v>
      </c>
      <c r="K88" s="165">
        <f>+WPF_bazowy!K88+Symulacja!K17</f>
        <v>2270257.9700000002</v>
      </c>
      <c r="L88" s="165">
        <f>+WPF_bazowy!L88+Symulacja!L17</f>
        <v>0</v>
      </c>
      <c r="M88" s="250">
        <f>+WPF_bazowy!M88+Symulacja!M17</f>
        <v>0</v>
      </c>
      <c r="N88" s="164">
        <f>+WPF_bazowy!N88+Symulacja!N17</f>
        <v>0</v>
      </c>
      <c r="O88" s="165">
        <f>+WPF_bazowy!O88+Symulacja!O17</f>
        <v>0</v>
      </c>
      <c r="P88" s="165">
        <f>+WPF_bazowy!P88+Symulacja!P17</f>
        <v>0</v>
      </c>
      <c r="Q88" s="165">
        <f>+WPF_bazowy!Q88+Symulacja!Q17</f>
        <v>0</v>
      </c>
      <c r="R88" s="165">
        <f>+WPF_bazowy!R88+Symulacja!R17</f>
        <v>0</v>
      </c>
      <c r="S88" s="165">
        <f>+WPF_bazowy!S88+Symulacja!S17</f>
        <v>0</v>
      </c>
      <c r="T88" s="165">
        <f>+WPF_bazowy!T88+Symulacja!T17</f>
        <v>0</v>
      </c>
      <c r="U88" s="165">
        <f>+WPF_bazowy!U88+Symulacja!U17</f>
        <v>0</v>
      </c>
      <c r="V88" s="165">
        <f>+WPF_bazowy!V88+Symulacja!V17</f>
        <v>0</v>
      </c>
      <c r="W88" s="165">
        <f>+WPF_bazowy!W88+Symulacja!W17</f>
        <v>0</v>
      </c>
      <c r="X88" s="165">
        <f>+WPF_bazowy!X88+Symulacja!X17</f>
        <v>0</v>
      </c>
      <c r="Y88" s="165">
        <f>+WPF_bazowy!Y88+Symulacja!Y17</f>
        <v>0</v>
      </c>
      <c r="Z88" s="165">
        <f>+WPF_bazowy!Z88+Symulacja!Z17</f>
        <v>0</v>
      </c>
      <c r="AA88" s="165">
        <f>+WPF_bazowy!AA88+Symulacja!AA17</f>
        <v>0</v>
      </c>
      <c r="AB88" s="165">
        <f>+WPF_bazowy!AB88+Symulacja!AB17</f>
        <v>0</v>
      </c>
      <c r="AC88" s="165">
        <f>+WPF_bazowy!AC88+Symulacja!AC17</f>
        <v>0</v>
      </c>
      <c r="AD88" s="165">
        <f>+WPF_bazowy!AD88+Symulacja!AD17</f>
        <v>0</v>
      </c>
      <c r="AE88" s="165">
        <f>+WPF_bazowy!AE88+Symulacja!AE17</f>
        <v>0</v>
      </c>
      <c r="AF88" s="165">
        <f>+WPF_bazowy!AF88+Symulacja!AF17</f>
        <v>0</v>
      </c>
      <c r="AG88" s="165">
        <f>+WPF_bazowy!AG88+Symulacja!AG17</f>
        <v>0</v>
      </c>
      <c r="AH88" s="165">
        <f>+WPF_bazowy!AH88+Symulacja!AH17</f>
        <v>0</v>
      </c>
      <c r="AI88" s="165">
        <f>+WPF_bazowy!AI88+Symulacja!AI17</f>
        <v>0</v>
      </c>
      <c r="AJ88" s="165">
        <f>+WPF_bazowy!AJ88+Symulacja!AJ17</f>
        <v>0</v>
      </c>
      <c r="AK88" s="165">
        <f>+WPF_bazowy!AK88+Symulacja!AK17</f>
        <v>0</v>
      </c>
      <c r="AL88" s="165">
        <f>+WPF_bazowy!AL88+Symulacja!AL17</f>
        <v>0</v>
      </c>
      <c r="AM88" s="165">
        <f>+WPF_bazowy!AM88+Symulacja!AM17</f>
        <v>0</v>
      </c>
      <c r="AN88" s="165">
        <f>+WPF_bazowy!AN88+Symulacja!AN17</f>
        <v>0</v>
      </c>
      <c r="AO88" s="165">
        <f>+WPF_bazowy!AO88+Symulacja!AO17</f>
        <v>0</v>
      </c>
      <c r="AP88" s="165">
        <f>+WPF_bazowy!AP88+Symulacja!AP17</f>
        <v>0</v>
      </c>
      <c r="AQ88" s="165">
        <f>+WPF_bazowy!AQ88+Symulacja!AQ17</f>
        <v>0</v>
      </c>
      <c r="AR88" s="165">
        <f>+WPF_bazowy!AR88+Symulacja!AR17</f>
        <v>0</v>
      </c>
      <c r="AS88" s="165">
        <f>+WPF_bazowy!AS88+Symulacja!AS17</f>
        <v>0</v>
      </c>
      <c r="AT88" s="165">
        <f>+WPF_bazowy!AT88+Symulacja!AT17</f>
        <v>0</v>
      </c>
      <c r="AU88" s="165">
        <f>+WPF_bazowy!AU88+Symulacja!AU17</f>
        <v>0</v>
      </c>
      <c r="AV88" s="165">
        <f>+WPF_bazowy!AV88+Symulacja!AV17</f>
        <v>0</v>
      </c>
      <c r="AW88" s="165">
        <f>+WPF_bazowy!AW88+Symulacja!AW17</f>
        <v>0</v>
      </c>
      <c r="AX88" s="165">
        <f>+WPF_bazowy!AX88+Symulacja!AX17</f>
        <v>0</v>
      </c>
      <c r="AY88" s="165">
        <f>+WPF_bazowy!AY88+Symulacja!AY17</f>
        <v>0</v>
      </c>
      <c r="AZ88" s="165">
        <f>+WPF_bazowy!AZ88+Symulacja!AZ17</f>
        <v>0</v>
      </c>
      <c r="BA88" s="178">
        <f>+WPF_bazowy!BA88+Symulacja!BA17</f>
        <v>0</v>
      </c>
    </row>
    <row r="89" spans="1:53" outlineLevel="3">
      <c r="C89" s="162" t="s">
        <v>290</v>
      </c>
      <c r="D89" s="169"/>
      <c r="E89" s="233" t="s">
        <v>341</v>
      </c>
      <c r="F89" s="164">
        <f>+WPF_bazowy!F89</f>
        <v>0</v>
      </c>
      <c r="G89" s="164">
        <f>+WPF_bazowy!G89</f>
        <v>0</v>
      </c>
      <c r="H89" s="164">
        <f>+WPF_bazowy!H89</f>
        <v>317955.64</v>
      </c>
      <c r="I89" s="164">
        <f>+WPF_bazowy!I89</f>
        <v>4708649.46</v>
      </c>
      <c r="J89" s="164">
        <f>+WPF_bazowy!J89</f>
        <v>5257568.3099999996</v>
      </c>
      <c r="K89" s="165">
        <f>+WPF_bazowy!K89</f>
        <v>1709325.75</v>
      </c>
      <c r="L89" s="165">
        <f>+WPF_bazowy!L89</f>
        <v>0</v>
      </c>
      <c r="M89" s="250">
        <f>+WPF_bazowy!M89</f>
        <v>0</v>
      </c>
      <c r="N89" s="164">
        <f>+WPF_bazowy!N89</f>
        <v>0</v>
      </c>
      <c r="O89" s="165">
        <f>+WPF_bazowy!O89</f>
        <v>0</v>
      </c>
      <c r="P89" s="165">
        <f>+WPF_bazowy!P89</f>
        <v>0</v>
      </c>
      <c r="Q89" s="165">
        <f>+WPF_bazowy!Q89</f>
        <v>0</v>
      </c>
      <c r="R89" s="165">
        <f>+WPF_bazowy!R89</f>
        <v>0</v>
      </c>
      <c r="S89" s="165">
        <f>+WPF_bazowy!S89</f>
        <v>0</v>
      </c>
      <c r="T89" s="165">
        <f>+WPF_bazowy!T89</f>
        <v>0</v>
      </c>
      <c r="U89" s="165">
        <f>+WPF_bazowy!U89</f>
        <v>0</v>
      </c>
      <c r="V89" s="165">
        <f>+WPF_bazowy!V89</f>
        <v>0</v>
      </c>
      <c r="W89" s="165">
        <f>+WPF_bazowy!W89</f>
        <v>0</v>
      </c>
      <c r="X89" s="165">
        <f>+WPF_bazowy!X89</f>
        <v>0</v>
      </c>
      <c r="Y89" s="165">
        <f>+WPF_bazowy!Y89</f>
        <v>0</v>
      </c>
      <c r="Z89" s="165">
        <f>+WPF_bazowy!Z89</f>
        <v>0</v>
      </c>
      <c r="AA89" s="165">
        <f>+WPF_bazowy!AA89</f>
        <v>0</v>
      </c>
      <c r="AB89" s="165">
        <f>+WPF_bazowy!AB89</f>
        <v>0</v>
      </c>
      <c r="AC89" s="165">
        <f>+WPF_bazowy!AC89</f>
        <v>0</v>
      </c>
      <c r="AD89" s="165">
        <f>+WPF_bazowy!AD89</f>
        <v>0</v>
      </c>
      <c r="AE89" s="165">
        <f>+WPF_bazowy!AE89</f>
        <v>0</v>
      </c>
      <c r="AF89" s="165">
        <f>+WPF_bazowy!AF89</f>
        <v>0</v>
      </c>
      <c r="AG89" s="165">
        <f>+WPF_bazowy!AG89</f>
        <v>0</v>
      </c>
      <c r="AH89" s="165">
        <f>+WPF_bazowy!AH89</f>
        <v>0</v>
      </c>
      <c r="AI89" s="165">
        <f>+WPF_bazowy!AI89</f>
        <v>0</v>
      </c>
      <c r="AJ89" s="165">
        <f>+WPF_bazowy!AJ89</f>
        <v>0</v>
      </c>
      <c r="AK89" s="165">
        <f>+WPF_bazowy!AK89</f>
        <v>0</v>
      </c>
      <c r="AL89" s="165">
        <f>+WPF_bazowy!AL89</f>
        <v>0</v>
      </c>
      <c r="AM89" s="165">
        <f>+WPF_bazowy!AM89</f>
        <v>0</v>
      </c>
      <c r="AN89" s="165">
        <f>+WPF_bazowy!AN89</f>
        <v>0</v>
      </c>
      <c r="AO89" s="165">
        <f>+WPF_bazowy!AO89</f>
        <v>0</v>
      </c>
      <c r="AP89" s="165">
        <f>+WPF_bazowy!AP89</f>
        <v>0</v>
      </c>
      <c r="AQ89" s="165">
        <f>+WPF_bazowy!AQ89</f>
        <v>0</v>
      </c>
      <c r="AR89" s="165">
        <f>+WPF_bazowy!AR89</f>
        <v>0</v>
      </c>
      <c r="AS89" s="165">
        <f>+WPF_bazowy!AS89</f>
        <v>0</v>
      </c>
      <c r="AT89" s="165">
        <f>+WPF_bazowy!AT89</f>
        <v>0</v>
      </c>
      <c r="AU89" s="165">
        <f>+WPF_bazowy!AU89</f>
        <v>0</v>
      </c>
      <c r="AV89" s="165">
        <f>+WPF_bazowy!AV89</f>
        <v>0</v>
      </c>
      <c r="AW89" s="165">
        <f>+WPF_bazowy!AW89</f>
        <v>0</v>
      </c>
      <c r="AX89" s="165">
        <f>+WPF_bazowy!AX89</f>
        <v>0</v>
      </c>
      <c r="AY89" s="165">
        <f>+WPF_bazowy!AY89</f>
        <v>0</v>
      </c>
      <c r="AZ89" s="165">
        <f>+WPF_bazowy!AZ89</f>
        <v>0</v>
      </c>
      <c r="BA89" s="178">
        <f>+WPF_bazowy!BA89</f>
        <v>0</v>
      </c>
    </row>
    <row r="90" spans="1:53">
      <c r="C90" s="170">
        <v>10</v>
      </c>
      <c r="D90" s="169"/>
      <c r="E90" s="215" t="s">
        <v>244</v>
      </c>
      <c r="F90" s="180" t="s">
        <v>27</v>
      </c>
      <c r="G90" s="180" t="s">
        <v>27</v>
      </c>
      <c r="H90" s="180" t="s">
        <v>27</v>
      </c>
      <c r="I90" s="180" t="s">
        <v>27</v>
      </c>
      <c r="J90" s="180" t="s">
        <v>27</v>
      </c>
      <c r="K90" s="181" t="s">
        <v>27</v>
      </c>
      <c r="L90" s="181" t="s">
        <v>27</v>
      </c>
      <c r="M90" s="182" t="s">
        <v>27</v>
      </c>
      <c r="N90" s="180" t="s">
        <v>27</v>
      </c>
      <c r="O90" s="181" t="s">
        <v>27</v>
      </c>
      <c r="P90" s="181" t="s">
        <v>27</v>
      </c>
      <c r="Q90" s="181" t="s">
        <v>27</v>
      </c>
      <c r="R90" s="181" t="s">
        <v>27</v>
      </c>
      <c r="S90" s="181" t="s">
        <v>27</v>
      </c>
      <c r="T90" s="181" t="s">
        <v>27</v>
      </c>
      <c r="U90" s="181" t="s">
        <v>27</v>
      </c>
      <c r="V90" s="181" t="s">
        <v>27</v>
      </c>
      <c r="W90" s="181" t="s">
        <v>27</v>
      </c>
      <c r="X90" s="181" t="s">
        <v>27</v>
      </c>
      <c r="Y90" s="181" t="s">
        <v>27</v>
      </c>
      <c r="Z90" s="181" t="s">
        <v>27</v>
      </c>
      <c r="AA90" s="181" t="s">
        <v>27</v>
      </c>
      <c r="AB90" s="181" t="s">
        <v>27</v>
      </c>
      <c r="AC90" s="181" t="s">
        <v>27</v>
      </c>
      <c r="AD90" s="181" t="s">
        <v>27</v>
      </c>
      <c r="AE90" s="181" t="s">
        <v>27</v>
      </c>
      <c r="AF90" s="181" t="s">
        <v>27</v>
      </c>
      <c r="AG90" s="181" t="s">
        <v>27</v>
      </c>
      <c r="AH90" s="181" t="s">
        <v>27</v>
      </c>
      <c r="AI90" s="181" t="s">
        <v>27</v>
      </c>
      <c r="AJ90" s="181" t="s">
        <v>27</v>
      </c>
      <c r="AK90" s="181" t="s">
        <v>27</v>
      </c>
      <c r="AL90" s="181" t="s">
        <v>27</v>
      </c>
      <c r="AM90" s="181" t="s">
        <v>27</v>
      </c>
      <c r="AN90" s="181" t="s">
        <v>27</v>
      </c>
      <c r="AO90" s="181" t="s">
        <v>27</v>
      </c>
      <c r="AP90" s="181" t="s">
        <v>27</v>
      </c>
      <c r="AQ90" s="181" t="s">
        <v>27</v>
      </c>
      <c r="AR90" s="181" t="s">
        <v>27</v>
      </c>
      <c r="AS90" s="181" t="s">
        <v>27</v>
      </c>
      <c r="AT90" s="181" t="s">
        <v>27</v>
      </c>
      <c r="AU90" s="181" t="s">
        <v>27</v>
      </c>
      <c r="AV90" s="181" t="s">
        <v>27</v>
      </c>
      <c r="AW90" s="181" t="s">
        <v>27</v>
      </c>
      <c r="AX90" s="181" t="s">
        <v>27</v>
      </c>
      <c r="AY90" s="181" t="s">
        <v>27</v>
      </c>
      <c r="AZ90" s="181" t="s">
        <v>27</v>
      </c>
      <c r="BA90" s="182" t="s">
        <v>27</v>
      </c>
    </row>
    <row r="91" spans="1:53" outlineLevel="1">
      <c r="C91" s="162" t="s">
        <v>70</v>
      </c>
      <c r="D91" s="169"/>
      <c r="E91" s="230" t="s">
        <v>245</v>
      </c>
      <c r="F91" s="164">
        <f>+WPF_bazowy!F91</f>
        <v>0</v>
      </c>
      <c r="G91" s="164">
        <f>+WPF_bazowy!G91</f>
        <v>0</v>
      </c>
      <c r="H91" s="164">
        <f>+WPF_bazowy!H91</f>
        <v>0</v>
      </c>
      <c r="I91" s="164">
        <f>+WPF_bazowy!I91</f>
        <v>0</v>
      </c>
      <c r="J91" s="164">
        <f>+WPF_bazowy!J91</f>
        <v>0</v>
      </c>
      <c r="K91" s="165">
        <f>+WPF_bazowy!K91</f>
        <v>0</v>
      </c>
      <c r="L91" s="165">
        <f>+WPF_bazowy!L91</f>
        <v>6389215</v>
      </c>
      <c r="M91" s="166">
        <f>+ROUND(M92+M93,2)</f>
        <v>6389215</v>
      </c>
      <c r="N91" s="167">
        <f>+ROUND(N92+N93,2)</f>
        <v>9533117</v>
      </c>
      <c r="O91" s="168">
        <f>+ROUND(O92+O93,2)</f>
        <v>23305220</v>
      </c>
      <c r="P91" s="168">
        <f>+ROUND(P92+P93,2)</f>
        <v>1000000</v>
      </c>
      <c r="Q91" s="168">
        <f>+ROUND(Q92+Q93,2)</f>
        <v>1000000</v>
      </c>
      <c r="R91" s="168">
        <f t="shared" ref="R91:X91" si="36">+ROUND(R92+R93,2)</f>
        <v>0</v>
      </c>
      <c r="S91" s="168">
        <f t="shared" si="36"/>
        <v>0</v>
      </c>
      <c r="T91" s="168">
        <f t="shared" si="36"/>
        <v>0</v>
      </c>
      <c r="U91" s="168">
        <f t="shared" si="36"/>
        <v>0</v>
      </c>
      <c r="V91" s="168">
        <f t="shared" si="36"/>
        <v>0</v>
      </c>
      <c r="W91" s="168">
        <f t="shared" si="36"/>
        <v>0</v>
      </c>
      <c r="X91" s="168">
        <f t="shared" si="36"/>
        <v>0</v>
      </c>
      <c r="Y91" s="168">
        <f t="shared" ref="Y91:BA91" si="37">+ROUND(Y92+Y93,2)</f>
        <v>0</v>
      </c>
      <c r="Z91" s="168">
        <f t="shared" si="37"/>
        <v>0</v>
      </c>
      <c r="AA91" s="168">
        <f t="shared" si="37"/>
        <v>0</v>
      </c>
      <c r="AB91" s="168">
        <f t="shared" si="37"/>
        <v>0</v>
      </c>
      <c r="AC91" s="168">
        <f t="shared" si="37"/>
        <v>0</v>
      </c>
      <c r="AD91" s="168">
        <f t="shared" si="37"/>
        <v>0</v>
      </c>
      <c r="AE91" s="168">
        <f t="shared" si="37"/>
        <v>0</v>
      </c>
      <c r="AF91" s="168">
        <f t="shared" si="37"/>
        <v>0</v>
      </c>
      <c r="AG91" s="168">
        <f t="shared" si="37"/>
        <v>0</v>
      </c>
      <c r="AH91" s="168">
        <f t="shared" si="37"/>
        <v>0</v>
      </c>
      <c r="AI91" s="168">
        <f t="shared" si="37"/>
        <v>0</v>
      </c>
      <c r="AJ91" s="168">
        <f t="shared" si="37"/>
        <v>0</v>
      </c>
      <c r="AK91" s="168">
        <f t="shared" si="37"/>
        <v>0</v>
      </c>
      <c r="AL91" s="168">
        <f t="shared" si="37"/>
        <v>0</v>
      </c>
      <c r="AM91" s="168">
        <f t="shared" si="37"/>
        <v>0</v>
      </c>
      <c r="AN91" s="168">
        <f t="shared" si="37"/>
        <v>0</v>
      </c>
      <c r="AO91" s="168">
        <f t="shared" si="37"/>
        <v>0</v>
      </c>
      <c r="AP91" s="168">
        <f t="shared" si="37"/>
        <v>0</v>
      </c>
      <c r="AQ91" s="168">
        <f t="shared" si="37"/>
        <v>0</v>
      </c>
      <c r="AR91" s="168">
        <f t="shared" si="37"/>
        <v>0</v>
      </c>
      <c r="AS91" s="168">
        <f t="shared" si="37"/>
        <v>0</v>
      </c>
      <c r="AT91" s="168">
        <f t="shared" si="37"/>
        <v>0</v>
      </c>
      <c r="AU91" s="168">
        <f t="shared" si="37"/>
        <v>0</v>
      </c>
      <c r="AV91" s="168">
        <f t="shared" si="37"/>
        <v>0</v>
      </c>
      <c r="AW91" s="168">
        <f t="shared" si="37"/>
        <v>0</v>
      </c>
      <c r="AX91" s="168">
        <f t="shared" si="37"/>
        <v>0</v>
      </c>
      <c r="AY91" s="168">
        <f t="shared" si="37"/>
        <v>0</v>
      </c>
      <c r="AZ91" s="168">
        <f t="shared" si="37"/>
        <v>0</v>
      </c>
      <c r="BA91" s="166">
        <f t="shared" si="37"/>
        <v>0</v>
      </c>
    </row>
    <row r="92" spans="1:53" outlineLevel="2">
      <c r="C92" s="162" t="s">
        <v>291</v>
      </c>
      <c r="D92" s="169" t="s">
        <v>364</v>
      </c>
      <c r="E92" s="213" t="s">
        <v>95</v>
      </c>
      <c r="F92" s="164">
        <f>+WPF_bazowy!F92</f>
        <v>0</v>
      </c>
      <c r="G92" s="164">
        <f>+WPF_bazowy!G92</f>
        <v>0</v>
      </c>
      <c r="H92" s="164">
        <f>+WPF_bazowy!H92</f>
        <v>0</v>
      </c>
      <c r="I92" s="164">
        <f>+WPF_bazowy!I92</f>
        <v>0</v>
      </c>
      <c r="J92" s="164">
        <f>+WPF_bazowy!J92</f>
        <v>0</v>
      </c>
      <c r="K92" s="165">
        <f>+WPF_bazowy!K92</f>
        <v>0</v>
      </c>
      <c r="L92" s="165">
        <f>+WPF_bazowy!L92</f>
        <v>1278909</v>
      </c>
      <c r="M92" s="250">
        <f>+WPF_bazowy!M92</f>
        <v>1278909</v>
      </c>
      <c r="N92" s="164">
        <f>+WPF_bazowy!N92</f>
        <v>2303117</v>
      </c>
      <c r="O92" s="165">
        <f>+WPF_bazowy!O92</f>
        <v>418220</v>
      </c>
      <c r="P92" s="165">
        <f>+WPF_bazowy!P92</f>
        <v>0</v>
      </c>
      <c r="Q92" s="165">
        <f>+WPF_bazowy!Q92</f>
        <v>0</v>
      </c>
      <c r="R92" s="165">
        <f>+WPF_bazowy!R92</f>
        <v>0</v>
      </c>
      <c r="S92" s="165">
        <f>+WPF_bazowy!S92</f>
        <v>0</v>
      </c>
      <c r="T92" s="165">
        <f>+WPF_bazowy!T92</f>
        <v>0</v>
      </c>
      <c r="U92" s="165">
        <f>+WPF_bazowy!U92</f>
        <v>0</v>
      </c>
      <c r="V92" s="165">
        <f>+WPF_bazowy!V92</f>
        <v>0</v>
      </c>
      <c r="W92" s="165">
        <f>+WPF_bazowy!W92</f>
        <v>0</v>
      </c>
      <c r="X92" s="165">
        <f>+WPF_bazowy!X92</f>
        <v>0</v>
      </c>
      <c r="Y92" s="165">
        <f>+WPF_bazowy!Y92</f>
        <v>0</v>
      </c>
      <c r="Z92" s="165">
        <f>+WPF_bazowy!Z92</f>
        <v>0</v>
      </c>
      <c r="AA92" s="165">
        <f>+WPF_bazowy!AA92</f>
        <v>0</v>
      </c>
      <c r="AB92" s="165">
        <f>+WPF_bazowy!AB92</f>
        <v>0</v>
      </c>
      <c r="AC92" s="165">
        <f>+WPF_bazowy!AC92</f>
        <v>0</v>
      </c>
      <c r="AD92" s="165">
        <f>+WPF_bazowy!AD92</f>
        <v>0</v>
      </c>
      <c r="AE92" s="165">
        <f>+WPF_bazowy!AE92</f>
        <v>0</v>
      </c>
      <c r="AF92" s="165">
        <f>+WPF_bazowy!AF92</f>
        <v>0</v>
      </c>
      <c r="AG92" s="165">
        <f>+WPF_bazowy!AG92</f>
        <v>0</v>
      </c>
      <c r="AH92" s="165">
        <f>+WPF_bazowy!AH92</f>
        <v>0</v>
      </c>
      <c r="AI92" s="165">
        <f>+WPF_bazowy!AI92</f>
        <v>0</v>
      </c>
      <c r="AJ92" s="165">
        <f>+WPF_bazowy!AJ92</f>
        <v>0</v>
      </c>
      <c r="AK92" s="165">
        <f>+WPF_bazowy!AK92</f>
        <v>0</v>
      </c>
      <c r="AL92" s="165">
        <f>+WPF_bazowy!AL92</f>
        <v>0</v>
      </c>
      <c r="AM92" s="165">
        <f>+WPF_bazowy!AM92</f>
        <v>0</v>
      </c>
      <c r="AN92" s="165">
        <f>+WPF_bazowy!AN92</f>
        <v>0</v>
      </c>
      <c r="AO92" s="165">
        <f>+WPF_bazowy!AO92</f>
        <v>0</v>
      </c>
      <c r="AP92" s="165">
        <f>+WPF_bazowy!AP92</f>
        <v>0</v>
      </c>
      <c r="AQ92" s="165">
        <f>+WPF_bazowy!AQ92</f>
        <v>0</v>
      </c>
      <c r="AR92" s="165">
        <f>+WPF_bazowy!AR92</f>
        <v>0</v>
      </c>
      <c r="AS92" s="165">
        <f>+WPF_bazowy!AS92</f>
        <v>0</v>
      </c>
      <c r="AT92" s="165">
        <f>+WPF_bazowy!AT92</f>
        <v>0</v>
      </c>
      <c r="AU92" s="165">
        <f>+WPF_bazowy!AU92</f>
        <v>0</v>
      </c>
      <c r="AV92" s="165">
        <f>+WPF_bazowy!AV92</f>
        <v>0</v>
      </c>
      <c r="AW92" s="165">
        <f>+WPF_bazowy!AW92</f>
        <v>0</v>
      </c>
      <c r="AX92" s="165">
        <f>+WPF_bazowy!AX92</f>
        <v>0</v>
      </c>
      <c r="AY92" s="165">
        <f>+WPF_bazowy!AY92</f>
        <v>0</v>
      </c>
      <c r="AZ92" s="165">
        <f>+WPF_bazowy!AZ92</f>
        <v>0</v>
      </c>
      <c r="BA92" s="178">
        <f>+WPF_bazowy!BA92</f>
        <v>0</v>
      </c>
    </row>
    <row r="93" spans="1:53" outlineLevel="2">
      <c r="C93" s="162" t="s">
        <v>292</v>
      </c>
      <c r="D93" s="169" t="s">
        <v>365</v>
      </c>
      <c r="E93" s="213" t="s">
        <v>96</v>
      </c>
      <c r="F93" s="164">
        <f>+WPF_bazowy!F93</f>
        <v>0</v>
      </c>
      <c r="G93" s="164">
        <f>+WPF_bazowy!G93</f>
        <v>0</v>
      </c>
      <c r="H93" s="164">
        <f>+WPF_bazowy!H93</f>
        <v>0</v>
      </c>
      <c r="I93" s="164">
        <f>+WPF_bazowy!I93</f>
        <v>0</v>
      </c>
      <c r="J93" s="164">
        <f>+WPF_bazowy!J93</f>
        <v>0</v>
      </c>
      <c r="K93" s="165">
        <f>+WPF_bazowy!K93</f>
        <v>0</v>
      </c>
      <c r="L93" s="165">
        <f>+WPF_bazowy!L93</f>
        <v>5110306</v>
      </c>
      <c r="M93" s="250">
        <f>+WPF_bazowy!M93</f>
        <v>5110306</v>
      </c>
      <c r="N93" s="164">
        <f>+WPF_bazowy!N93</f>
        <v>7230000</v>
      </c>
      <c r="O93" s="165">
        <f>+WPF_bazowy!O93</f>
        <v>22887000</v>
      </c>
      <c r="P93" s="165">
        <f>+WPF_bazowy!P93</f>
        <v>1000000</v>
      </c>
      <c r="Q93" s="165">
        <f>+WPF_bazowy!Q93</f>
        <v>1000000</v>
      </c>
      <c r="R93" s="165">
        <f>+WPF_bazowy!R93</f>
        <v>0</v>
      </c>
      <c r="S93" s="165">
        <f>+WPF_bazowy!S93</f>
        <v>0</v>
      </c>
      <c r="T93" s="165">
        <f>+WPF_bazowy!T93</f>
        <v>0</v>
      </c>
      <c r="U93" s="165">
        <f>+WPF_bazowy!U93</f>
        <v>0</v>
      </c>
      <c r="V93" s="165">
        <f>+WPF_bazowy!V93</f>
        <v>0</v>
      </c>
      <c r="W93" s="165">
        <f>+WPF_bazowy!W93</f>
        <v>0</v>
      </c>
      <c r="X93" s="165">
        <f>+WPF_bazowy!X93</f>
        <v>0</v>
      </c>
      <c r="Y93" s="165">
        <f>+WPF_bazowy!Y93</f>
        <v>0</v>
      </c>
      <c r="Z93" s="165">
        <f>+WPF_bazowy!Z93</f>
        <v>0</v>
      </c>
      <c r="AA93" s="165">
        <f>+WPF_bazowy!AA93</f>
        <v>0</v>
      </c>
      <c r="AB93" s="165">
        <f>+WPF_bazowy!AB93</f>
        <v>0</v>
      </c>
      <c r="AC93" s="165">
        <f>+WPF_bazowy!AC93</f>
        <v>0</v>
      </c>
      <c r="AD93" s="165">
        <f>+WPF_bazowy!AD93</f>
        <v>0</v>
      </c>
      <c r="AE93" s="165">
        <f>+WPF_bazowy!AE93</f>
        <v>0</v>
      </c>
      <c r="AF93" s="165">
        <f>+WPF_bazowy!AF93</f>
        <v>0</v>
      </c>
      <c r="AG93" s="165">
        <f>+WPF_bazowy!AG93</f>
        <v>0</v>
      </c>
      <c r="AH93" s="165">
        <f>+WPF_bazowy!AH93</f>
        <v>0</v>
      </c>
      <c r="AI93" s="165">
        <f>+WPF_bazowy!AI93</f>
        <v>0</v>
      </c>
      <c r="AJ93" s="165">
        <f>+WPF_bazowy!AJ93</f>
        <v>0</v>
      </c>
      <c r="AK93" s="165">
        <f>+WPF_bazowy!AK93</f>
        <v>0</v>
      </c>
      <c r="AL93" s="165">
        <f>+WPF_bazowy!AL93</f>
        <v>0</v>
      </c>
      <c r="AM93" s="165">
        <f>+WPF_bazowy!AM93</f>
        <v>0</v>
      </c>
      <c r="AN93" s="165">
        <f>+WPF_bazowy!AN93</f>
        <v>0</v>
      </c>
      <c r="AO93" s="165">
        <f>+WPF_bazowy!AO93</f>
        <v>0</v>
      </c>
      <c r="AP93" s="165">
        <f>+WPF_bazowy!AP93</f>
        <v>0</v>
      </c>
      <c r="AQ93" s="165">
        <f>+WPF_bazowy!AQ93</f>
        <v>0</v>
      </c>
      <c r="AR93" s="165">
        <f>+WPF_bazowy!AR93</f>
        <v>0</v>
      </c>
      <c r="AS93" s="165">
        <f>+WPF_bazowy!AS93</f>
        <v>0</v>
      </c>
      <c r="AT93" s="165">
        <f>+WPF_bazowy!AT93</f>
        <v>0</v>
      </c>
      <c r="AU93" s="165">
        <f>+WPF_bazowy!AU93</f>
        <v>0</v>
      </c>
      <c r="AV93" s="165">
        <f>+WPF_bazowy!AV93</f>
        <v>0</v>
      </c>
      <c r="AW93" s="165">
        <f>+WPF_bazowy!AW93</f>
        <v>0</v>
      </c>
      <c r="AX93" s="165">
        <f>+WPF_bazowy!AX93</f>
        <v>0</v>
      </c>
      <c r="AY93" s="165">
        <f>+WPF_bazowy!AY93</f>
        <v>0</v>
      </c>
      <c r="AZ93" s="165">
        <f>+WPF_bazowy!AZ93</f>
        <v>0</v>
      </c>
      <c r="BA93" s="178">
        <f>+WPF_bazowy!BA93</f>
        <v>0</v>
      </c>
    </row>
    <row r="94" spans="1:53" outlineLevel="1">
      <c r="C94" s="162" t="s">
        <v>305</v>
      </c>
      <c r="D94" s="169"/>
      <c r="E94" s="231" t="s">
        <v>99</v>
      </c>
      <c r="F94" s="164">
        <f>+WPF_bazowy!F94</f>
        <v>0</v>
      </c>
      <c r="G94" s="164">
        <f>+WPF_bazowy!G94</f>
        <v>0</v>
      </c>
      <c r="H94" s="164">
        <f>+WPF_bazowy!H94</f>
        <v>0</v>
      </c>
      <c r="I94" s="164">
        <f>+WPF_bazowy!I94</f>
        <v>0</v>
      </c>
      <c r="J94" s="164">
        <f>+WPF_bazowy!J94</f>
        <v>0</v>
      </c>
      <c r="K94" s="165">
        <f>+WPF_bazowy!K94</f>
        <v>0</v>
      </c>
      <c r="L94" s="165">
        <f>+WPF_bazowy!L94</f>
        <v>0</v>
      </c>
      <c r="M94" s="250">
        <f>+WPF_bazowy!M94</f>
        <v>0</v>
      </c>
      <c r="N94" s="164">
        <f>+WPF_bazowy!N94</f>
        <v>0</v>
      </c>
      <c r="O94" s="165">
        <f>+WPF_bazowy!O94</f>
        <v>0</v>
      </c>
      <c r="P94" s="165">
        <f>+WPF_bazowy!P94</f>
        <v>0</v>
      </c>
      <c r="Q94" s="165">
        <f>+WPF_bazowy!Q94</f>
        <v>0</v>
      </c>
      <c r="R94" s="165">
        <f>+WPF_bazowy!R94</f>
        <v>0</v>
      </c>
      <c r="S94" s="165">
        <f>+WPF_bazowy!S94</f>
        <v>0</v>
      </c>
      <c r="T94" s="165">
        <f>+WPF_bazowy!T94</f>
        <v>0</v>
      </c>
      <c r="U94" s="165">
        <f>+WPF_bazowy!U94</f>
        <v>0</v>
      </c>
      <c r="V94" s="165">
        <f>+WPF_bazowy!V94</f>
        <v>0</v>
      </c>
      <c r="W94" s="165">
        <f>+WPF_bazowy!W94</f>
        <v>0</v>
      </c>
      <c r="X94" s="165">
        <f>+WPF_bazowy!X94</f>
        <v>0</v>
      </c>
      <c r="Y94" s="165">
        <f>+WPF_bazowy!Y94</f>
        <v>0</v>
      </c>
      <c r="Z94" s="165">
        <f>+WPF_bazowy!Z94</f>
        <v>0</v>
      </c>
      <c r="AA94" s="165">
        <f>+WPF_bazowy!AA94</f>
        <v>0</v>
      </c>
      <c r="AB94" s="165">
        <f>+WPF_bazowy!AB94</f>
        <v>0</v>
      </c>
      <c r="AC94" s="165">
        <f>+WPF_bazowy!AC94</f>
        <v>0</v>
      </c>
      <c r="AD94" s="165">
        <f>+WPF_bazowy!AD94</f>
        <v>0</v>
      </c>
      <c r="AE94" s="165">
        <f>+WPF_bazowy!AE94</f>
        <v>0</v>
      </c>
      <c r="AF94" s="165">
        <f>+WPF_bazowy!AF94</f>
        <v>0</v>
      </c>
      <c r="AG94" s="165">
        <f>+WPF_bazowy!AG94</f>
        <v>0</v>
      </c>
      <c r="AH94" s="165">
        <f>+WPF_bazowy!AH94</f>
        <v>0</v>
      </c>
      <c r="AI94" s="165">
        <f>+WPF_bazowy!AI94</f>
        <v>0</v>
      </c>
      <c r="AJ94" s="165">
        <f>+WPF_bazowy!AJ94</f>
        <v>0</v>
      </c>
      <c r="AK94" s="165">
        <f>+WPF_bazowy!AK94</f>
        <v>0</v>
      </c>
      <c r="AL94" s="165">
        <f>+WPF_bazowy!AL94</f>
        <v>0</v>
      </c>
      <c r="AM94" s="165">
        <f>+WPF_bazowy!AM94</f>
        <v>0</v>
      </c>
      <c r="AN94" s="165">
        <f>+WPF_bazowy!AN94</f>
        <v>0</v>
      </c>
      <c r="AO94" s="165">
        <f>+WPF_bazowy!AO94</f>
        <v>0</v>
      </c>
      <c r="AP94" s="165">
        <f>+WPF_bazowy!AP94</f>
        <v>0</v>
      </c>
      <c r="AQ94" s="165">
        <f>+WPF_bazowy!AQ94</f>
        <v>0</v>
      </c>
      <c r="AR94" s="165">
        <f>+WPF_bazowy!AR94</f>
        <v>0</v>
      </c>
      <c r="AS94" s="165">
        <f>+WPF_bazowy!AS94</f>
        <v>0</v>
      </c>
      <c r="AT94" s="165">
        <f>+WPF_bazowy!AT94</f>
        <v>0</v>
      </c>
      <c r="AU94" s="165">
        <f>+WPF_bazowy!AU94</f>
        <v>0</v>
      </c>
      <c r="AV94" s="165">
        <f>+WPF_bazowy!AV94</f>
        <v>0</v>
      </c>
      <c r="AW94" s="165">
        <f>+WPF_bazowy!AW94</f>
        <v>0</v>
      </c>
      <c r="AX94" s="165">
        <f>+WPF_bazowy!AX94</f>
        <v>0</v>
      </c>
      <c r="AY94" s="165">
        <f>+WPF_bazowy!AY94</f>
        <v>0</v>
      </c>
      <c r="AZ94" s="165">
        <f>+WPF_bazowy!AZ94</f>
        <v>0</v>
      </c>
      <c r="BA94" s="178">
        <f>+WPF_bazowy!BA94</f>
        <v>0</v>
      </c>
    </row>
    <row r="95" spans="1:53" ht="27" outlineLevel="1">
      <c r="C95" s="162" t="s">
        <v>306</v>
      </c>
      <c r="D95" s="169"/>
      <c r="E95" s="231" t="s">
        <v>343</v>
      </c>
      <c r="F95" s="164">
        <f>+WPF_bazowy!F95</f>
        <v>0</v>
      </c>
      <c r="G95" s="164">
        <f>+WPF_bazowy!G95</f>
        <v>0</v>
      </c>
      <c r="H95" s="164">
        <f>+WPF_bazowy!H95</f>
        <v>0</v>
      </c>
      <c r="I95" s="164">
        <f>+WPF_bazowy!I95</f>
        <v>0</v>
      </c>
      <c r="J95" s="164">
        <f>+WPF_bazowy!J95</f>
        <v>0</v>
      </c>
      <c r="K95" s="165">
        <f>+WPF_bazowy!K95</f>
        <v>0</v>
      </c>
      <c r="L95" s="165">
        <f>+WPF_bazowy!L95</f>
        <v>0</v>
      </c>
      <c r="M95" s="250">
        <f>+WPF_bazowy!M95</f>
        <v>0</v>
      </c>
      <c r="N95" s="164">
        <f>+WPF_bazowy!N95</f>
        <v>0</v>
      </c>
      <c r="O95" s="165">
        <f>+WPF_bazowy!O95</f>
        <v>0</v>
      </c>
      <c r="P95" s="165">
        <f>+WPF_bazowy!P95</f>
        <v>0</v>
      </c>
      <c r="Q95" s="165">
        <f>+WPF_bazowy!Q95</f>
        <v>0</v>
      </c>
      <c r="R95" s="165">
        <f>+WPF_bazowy!R95</f>
        <v>0</v>
      </c>
      <c r="S95" s="165">
        <f>+WPF_bazowy!S95</f>
        <v>0</v>
      </c>
      <c r="T95" s="165">
        <f>+WPF_bazowy!T95</f>
        <v>0</v>
      </c>
      <c r="U95" s="165">
        <f>+WPF_bazowy!U95</f>
        <v>0</v>
      </c>
      <c r="V95" s="165">
        <f>+WPF_bazowy!V95</f>
        <v>0</v>
      </c>
      <c r="W95" s="165">
        <f>+WPF_bazowy!W95</f>
        <v>0</v>
      </c>
      <c r="X95" s="165">
        <f>+WPF_bazowy!X95</f>
        <v>0</v>
      </c>
      <c r="Y95" s="165">
        <f>+WPF_bazowy!Y95</f>
        <v>0</v>
      </c>
      <c r="Z95" s="165">
        <f>+WPF_bazowy!Z95</f>
        <v>0</v>
      </c>
      <c r="AA95" s="165">
        <f>+WPF_bazowy!AA95</f>
        <v>0</v>
      </c>
      <c r="AB95" s="165">
        <f>+WPF_bazowy!AB95</f>
        <v>0</v>
      </c>
      <c r="AC95" s="165">
        <f>+WPF_bazowy!AC95</f>
        <v>0</v>
      </c>
      <c r="AD95" s="165">
        <f>+WPF_bazowy!AD95</f>
        <v>0</v>
      </c>
      <c r="AE95" s="165">
        <f>+WPF_bazowy!AE95</f>
        <v>0</v>
      </c>
      <c r="AF95" s="165">
        <f>+WPF_bazowy!AF95</f>
        <v>0</v>
      </c>
      <c r="AG95" s="165">
        <f>+WPF_bazowy!AG95</f>
        <v>0</v>
      </c>
      <c r="AH95" s="165">
        <f>+WPF_bazowy!AH95</f>
        <v>0</v>
      </c>
      <c r="AI95" s="165">
        <f>+WPF_bazowy!AI95</f>
        <v>0</v>
      </c>
      <c r="AJ95" s="165">
        <f>+WPF_bazowy!AJ95</f>
        <v>0</v>
      </c>
      <c r="AK95" s="165">
        <f>+WPF_bazowy!AK95</f>
        <v>0</v>
      </c>
      <c r="AL95" s="165">
        <f>+WPF_bazowy!AL95</f>
        <v>0</v>
      </c>
      <c r="AM95" s="165">
        <f>+WPF_bazowy!AM95</f>
        <v>0</v>
      </c>
      <c r="AN95" s="165">
        <f>+WPF_bazowy!AN95</f>
        <v>0</v>
      </c>
      <c r="AO95" s="165">
        <f>+WPF_bazowy!AO95</f>
        <v>0</v>
      </c>
      <c r="AP95" s="165">
        <f>+WPF_bazowy!AP95</f>
        <v>0</v>
      </c>
      <c r="AQ95" s="165">
        <f>+WPF_bazowy!AQ95</f>
        <v>0</v>
      </c>
      <c r="AR95" s="165">
        <f>+WPF_bazowy!AR95</f>
        <v>0</v>
      </c>
      <c r="AS95" s="165">
        <f>+WPF_bazowy!AS95</f>
        <v>0</v>
      </c>
      <c r="AT95" s="165">
        <f>+WPF_bazowy!AT95</f>
        <v>0</v>
      </c>
      <c r="AU95" s="165">
        <f>+WPF_bazowy!AU95</f>
        <v>0</v>
      </c>
      <c r="AV95" s="165">
        <f>+WPF_bazowy!AV95</f>
        <v>0</v>
      </c>
      <c r="AW95" s="165">
        <f>+WPF_bazowy!AW95</f>
        <v>0</v>
      </c>
      <c r="AX95" s="165">
        <f>+WPF_bazowy!AX95</f>
        <v>0</v>
      </c>
      <c r="AY95" s="165">
        <f>+WPF_bazowy!AY95</f>
        <v>0</v>
      </c>
      <c r="AZ95" s="165">
        <f>+WPF_bazowy!AZ95</f>
        <v>0</v>
      </c>
      <c r="BA95" s="178">
        <f>+WPF_bazowy!BA95</f>
        <v>0</v>
      </c>
    </row>
    <row r="96" spans="1:53" ht="27" outlineLevel="1">
      <c r="A96" s="127" t="s">
        <v>27</v>
      </c>
      <c r="C96" s="162" t="s">
        <v>307</v>
      </c>
      <c r="D96" s="169"/>
      <c r="E96" s="231" t="s">
        <v>173</v>
      </c>
      <c r="F96" s="164">
        <f>+WPF_bazowy!F96</f>
        <v>0</v>
      </c>
      <c r="G96" s="164">
        <f>+WPF_bazowy!G96</f>
        <v>0</v>
      </c>
      <c r="H96" s="164">
        <f>+WPF_bazowy!H96</f>
        <v>0</v>
      </c>
      <c r="I96" s="164">
        <f>+WPF_bazowy!I96</f>
        <v>0</v>
      </c>
      <c r="J96" s="164">
        <f>+WPF_bazowy!J96</f>
        <v>0</v>
      </c>
      <c r="K96" s="165">
        <f>+WPF_bazowy!K96</f>
        <v>0</v>
      </c>
      <c r="L96" s="165">
        <f>+WPF_bazowy!L96</f>
        <v>0</v>
      </c>
      <c r="M96" s="250">
        <f>+WPF_bazowy!M96</f>
        <v>0</v>
      </c>
      <c r="N96" s="164">
        <f>+WPF_bazowy!N96</f>
        <v>0</v>
      </c>
      <c r="O96" s="165">
        <f>+WPF_bazowy!O96</f>
        <v>0</v>
      </c>
      <c r="P96" s="165">
        <f>+WPF_bazowy!P96</f>
        <v>0</v>
      </c>
      <c r="Q96" s="165">
        <f>+WPF_bazowy!Q96</f>
        <v>0</v>
      </c>
      <c r="R96" s="165">
        <f>+WPF_bazowy!R96</f>
        <v>0</v>
      </c>
      <c r="S96" s="165">
        <f>+WPF_bazowy!S96</f>
        <v>0</v>
      </c>
      <c r="T96" s="165">
        <f>+WPF_bazowy!T96</f>
        <v>0</v>
      </c>
      <c r="U96" s="165">
        <f>+WPF_bazowy!U96</f>
        <v>0</v>
      </c>
      <c r="V96" s="165">
        <f>+WPF_bazowy!V96</f>
        <v>0</v>
      </c>
      <c r="W96" s="165">
        <f>+WPF_bazowy!W96</f>
        <v>0</v>
      </c>
      <c r="X96" s="165">
        <f>+WPF_bazowy!X96</f>
        <v>0</v>
      </c>
      <c r="Y96" s="165">
        <f>+WPF_bazowy!Y96</f>
        <v>0</v>
      </c>
      <c r="Z96" s="165">
        <f>+WPF_bazowy!Z96</f>
        <v>0</v>
      </c>
      <c r="AA96" s="165">
        <f>+WPF_bazowy!AA96</f>
        <v>0</v>
      </c>
      <c r="AB96" s="165">
        <f>+WPF_bazowy!AB96</f>
        <v>0</v>
      </c>
      <c r="AC96" s="165">
        <f>+WPF_bazowy!AC96</f>
        <v>0</v>
      </c>
      <c r="AD96" s="165">
        <f>+WPF_bazowy!AD96</f>
        <v>0</v>
      </c>
      <c r="AE96" s="165">
        <f>+WPF_bazowy!AE96</f>
        <v>0</v>
      </c>
      <c r="AF96" s="165">
        <f>+WPF_bazowy!AF96</f>
        <v>0</v>
      </c>
      <c r="AG96" s="165">
        <f>+WPF_bazowy!AG96</f>
        <v>0</v>
      </c>
      <c r="AH96" s="165">
        <f>+WPF_bazowy!AH96</f>
        <v>0</v>
      </c>
      <c r="AI96" s="165">
        <f>+WPF_bazowy!AI96</f>
        <v>0</v>
      </c>
      <c r="AJ96" s="165">
        <f>+WPF_bazowy!AJ96</f>
        <v>0</v>
      </c>
      <c r="AK96" s="165">
        <f>+WPF_bazowy!AK96</f>
        <v>0</v>
      </c>
      <c r="AL96" s="165">
        <f>+WPF_bazowy!AL96</f>
        <v>0</v>
      </c>
      <c r="AM96" s="165">
        <f>+WPF_bazowy!AM96</f>
        <v>0</v>
      </c>
      <c r="AN96" s="165">
        <f>+WPF_bazowy!AN96</f>
        <v>0</v>
      </c>
      <c r="AO96" s="165">
        <f>+WPF_bazowy!AO96</f>
        <v>0</v>
      </c>
      <c r="AP96" s="165">
        <f>+WPF_bazowy!AP96</f>
        <v>0</v>
      </c>
      <c r="AQ96" s="165">
        <f>+WPF_bazowy!AQ96</f>
        <v>0</v>
      </c>
      <c r="AR96" s="165">
        <f>+WPF_bazowy!AR96</f>
        <v>0</v>
      </c>
      <c r="AS96" s="165">
        <f>+WPF_bazowy!AS96</f>
        <v>0</v>
      </c>
      <c r="AT96" s="165">
        <f>+WPF_bazowy!AT96</f>
        <v>0</v>
      </c>
      <c r="AU96" s="165">
        <f>+WPF_bazowy!AU96</f>
        <v>0</v>
      </c>
      <c r="AV96" s="165">
        <f>+WPF_bazowy!AV96</f>
        <v>0</v>
      </c>
      <c r="AW96" s="165">
        <f>+WPF_bazowy!AW96</f>
        <v>0</v>
      </c>
      <c r="AX96" s="165">
        <f>+WPF_bazowy!AX96</f>
        <v>0</v>
      </c>
      <c r="AY96" s="165">
        <f>+WPF_bazowy!AY96</f>
        <v>0</v>
      </c>
      <c r="AZ96" s="165">
        <f>+WPF_bazowy!AZ96</f>
        <v>0</v>
      </c>
      <c r="BA96" s="178">
        <f>+WPF_bazowy!BA96</f>
        <v>0</v>
      </c>
    </row>
    <row r="97" spans="1:54" ht="27" outlineLevel="1">
      <c r="C97" s="162" t="s">
        <v>308</v>
      </c>
      <c r="D97" s="169"/>
      <c r="E97" s="231" t="s">
        <v>344</v>
      </c>
      <c r="F97" s="164">
        <f>+WPF_bazowy!F97</f>
        <v>0</v>
      </c>
      <c r="G97" s="164">
        <f>+WPF_bazowy!G97</f>
        <v>0</v>
      </c>
      <c r="H97" s="164">
        <f>+WPF_bazowy!H97</f>
        <v>0</v>
      </c>
      <c r="I97" s="164">
        <f>+WPF_bazowy!I97</f>
        <v>0</v>
      </c>
      <c r="J97" s="164">
        <f>+WPF_bazowy!J97</f>
        <v>0</v>
      </c>
      <c r="K97" s="165">
        <f>+WPF_bazowy!K97</f>
        <v>0</v>
      </c>
      <c r="L97" s="165">
        <f>+WPF_bazowy!L97</f>
        <v>0</v>
      </c>
      <c r="M97" s="250">
        <f>+WPF_bazowy!M97</f>
        <v>0</v>
      </c>
      <c r="N97" s="164">
        <f>+WPF_bazowy!N97</f>
        <v>0</v>
      </c>
      <c r="O97" s="165">
        <f>+WPF_bazowy!O97</f>
        <v>0</v>
      </c>
      <c r="P97" s="165">
        <f>+WPF_bazowy!P97</f>
        <v>0</v>
      </c>
      <c r="Q97" s="165">
        <f>+WPF_bazowy!Q97</f>
        <v>0</v>
      </c>
      <c r="R97" s="165">
        <f>+WPF_bazowy!R97</f>
        <v>0</v>
      </c>
      <c r="S97" s="165">
        <f>+WPF_bazowy!S97</f>
        <v>0</v>
      </c>
      <c r="T97" s="165">
        <f>+WPF_bazowy!T97</f>
        <v>0</v>
      </c>
      <c r="U97" s="165">
        <f>+WPF_bazowy!U97</f>
        <v>0</v>
      </c>
      <c r="V97" s="165">
        <f>+WPF_bazowy!V97</f>
        <v>0</v>
      </c>
      <c r="W97" s="165">
        <f>+WPF_bazowy!W97</f>
        <v>0</v>
      </c>
      <c r="X97" s="165">
        <f>+WPF_bazowy!X97</f>
        <v>0</v>
      </c>
      <c r="Y97" s="165">
        <f>+WPF_bazowy!Y97</f>
        <v>0</v>
      </c>
      <c r="Z97" s="165">
        <f>+WPF_bazowy!Z97</f>
        <v>0</v>
      </c>
      <c r="AA97" s="165">
        <f>+WPF_bazowy!AA97</f>
        <v>0</v>
      </c>
      <c r="AB97" s="165">
        <f>+WPF_bazowy!AB97</f>
        <v>0</v>
      </c>
      <c r="AC97" s="165">
        <f>+WPF_bazowy!AC97</f>
        <v>0</v>
      </c>
      <c r="AD97" s="165">
        <f>+WPF_bazowy!AD97</f>
        <v>0</v>
      </c>
      <c r="AE97" s="165">
        <f>+WPF_bazowy!AE97</f>
        <v>0</v>
      </c>
      <c r="AF97" s="165">
        <f>+WPF_bazowy!AF97</f>
        <v>0</v>
      </c>
      <c r="AG97" s="165">
        <f>+WPF_bazowy!AG97</f>
        <v>0</v>
      </c>
      <c r="AH97" s="165">
        <f>+WPF_bazowy!AH97</f>
        <v>0</v>
      </c>
      <c r="AI97" s="165">
        <f>+WPF_bazowy!AI97</f>
        <v>0</v>
      </c>
      <c r="AJ97" s="165">
        <f>+WPF_bazowy!AJ97</f>
        <v>0</v>
      </c>
      <c r="AK97" s="165">
        <f>+WPF_bazowy!AK97</f>
        <v>0</v>
      </c>
      <c r="AL97" s="165">
        <f>+WPF_bazowy!AL97</f>
        <v>0</v>
      </c>
      <c r="AM97" s="165">
        <f>+WPF_bazowy!AM97</f>
        <v>0</v>
      </c>
      <c r="AN97" s="165">
        <f>+WPF_bazowy!AN97</f>
        <v>0</v>
      </c>
      <c r="AO97" s="165">
        <f>+WPF_bazowy!AO97</f>
        <v>0</v>
      </c>
      <c r="AP97" s="165">
        <f>+WPF_bazowy!AP97</f>
        <v>0</v>
      </c>
      <c r="AQ97" s="165">
        <f>+WPF_bazowy!AQ97</f>
        <v>0</v>
      </c>
      <c r="AR97" s="165">
        <f>+WPF_bazowy!AR97</f>
        <v>0</v>
      </c>
      <c r="AS97" s="165">
        <f>+WPF_bazowy!AS97</f>
        <v>0</v>
      </c>
      <c r="AT97" s="165">
        <f>+WPF_bazowy!AT97</f>
        <v>0</v>
      </c>
      <c r="AU97" s="165">
        <f>+WPF_bazowy!AU97</f>
        <v>0</v>
      </c>
      <c r="AV97" s="165">
        <f>+WPF_bazowy!AV97</f>
        <v>0</v>
      </c>
      <c r="AW97" s="165">
        <f>+WPF_bazowy!AW97</f>
        <v>0</v>
      </c>
      <c r="AX97" s="165">
        <f>+WPF_bazowy!AX97</f>
        <v>0</v>
      </c>
      <c r="AY97" s="165">
        <f>+WPF_bazowy!AY97</f>
        <v>0</v>
      </c>
      <c r="AZ97" s="165">
        <f>+WPF_bazowy!AZ97</f>
        <v>0</v>
      </c>
      <c r="BA97" s="178">
        <f>+WPF_bazowy!BA97</f>
        <v>0</v>
      </c>
    </row>
    <row r="98" spans="1:54" outlineLevel="1">
      <c r="C98" s="162" t="s">
        <v>309</v>
      </c>
      <c r="D98" s="169"/>
      <c r="E98" s="231" t="s">
        <v>345</v>
      </c>
      <c r="F98" s="164">
        <f>+WPF_bazowy!F98</f>
        <v>0</v>
      </c>
      <c r="G98" s="164">
        <f>+WPF_bazowy!G98</f>
        <v>0</v>
      </c>
      <c r="H98" s="164">
        <f>+WPF_bazowy!H98</f>
        <v>0</v>
      </c>
      <c r="I98" s="164">
        <f>+WPF_bazowy!I98</f>
        <v>0</v>
      </c>
      <c r="J98" s="164">
        <f>+WPF_bazowy!J98</f>
        <v>0</v>
      </c>
      <c r="K98" s="165">
        <f>+WPF_bazowy!K98</f>
        <v>0</v>
      </c>
      <c r="L98" s="165">
        <f>+WPF_bazowy!L98</f>
        <v>2000000</v>
      </c>
      <c r="M98" s="250">
        <f>+WPF_bazowy!M98</f>
        <v>2000000</v>
      </c>
      <c r="N98" s="164">
        <f>+WPF_bazowy!N98</f>
        <v>0</v>
      </c>
      <c r="O98" s="165">
        <f>+WPF_bazowy!O98</f>
        <v>2000000</v>
      </c>
      <c r="P98" s="165">
        <f>+WPF_bazowy!P98</f>
        <v>1915000</v>
      </c>
      <c r="Q98" s="165">
        <f>+WPF_bazowy!Q98</f>
        <v>2000000</v>
      </c>
      <c r="R98" s="165">
        <f>+WPF_bazowy!R98</f>
        <v>2000000</v>
      </c>
      <c r="S98" s="165">
        <f>+WPF_bazowy!S98</f>
        <v>2000000</v>
      </c>
      <c r="T98" s="165">
        <f>+WPF_bazowy!T98</f>
        <v>1500000</v>
      </c>
      <c r="U98" s="165">
        <f>+WPF_bazowy!U98</f>
        <v>500000</v>
      </c>
      <c r="V98" s="165">
        <f>+WPF_bazowy!V98</f>
        <v>0</v>
      </c>
      <c r="W98" s="165">
        <f>+WPF_bazowy!W98</f>
        <v>0</v>
      </c>
      <c r="X98" s="165">
        <f>+WPF_bazowy!X98</f>
        <v>0</v>
      </c>
      <c r="Y98" s="165">
        <f>+WPF_bazowy!Y98</f>
        <v>0</v>
      </c>
      <c r="Z98" s="165">
        <f>+WPF_bazowy!Z98</f>
        <v>0</v>
      </c>
      <c r="AA98" s="165">
        <f>+WPF_bazowy!AA98</f>
        <v>0</v>
      </c>
      <c r="AB98" s="165">
        <f>+WPF_bazowy!AB98</f>
        <v>0</v>
      </c>
      <c r="AC98" s="165">
        <f>+WPF_bazowy!AC98</f>
        <v>0</v>
      </c>
      <c r="AD98" s="165">
        <f>+WPF_bazowy!AD98</f>
        <v>0</v>
      </c>
      <c r="AE98" s="165">
        <f>+WPF_bazowy!AE98</f>
        <v>0</v>
      </c>
      <c r="AF98" s="165">
        <f>+WPF_bazowy!AF98</f>
        <v>0</v>
      </c>
      <c r="AG98" s="165">
        <f>+WPF_bazowy!AG98</f>
        <v>0</v>
      </c>
      <c r="AH98" s="165">
        <f>+WPF_bazowy!AH98</f>
        <v>0</v>
      </c>
      <c r="AI98" s="165">
        <f>+WPF_bazowy!AI98</f>
        <v>0</v>
      </c>
      <c r="AJ98" s="165">
        <f>+WPF_bazowy!AJ98</f>
        <v>0</v>
      </c>
      <c r="AK98" s="165">
        <f>+WPF_bazowy!AK98</f>
        <v>0</v>
      </c>
      <c r="AL98" s="165">
        <f>+WPF_bazowy!AL98</f>
        <v>0</v>
      </c>
      <c r="AM98" s="165">
        <f>+WPF_bazowy!AM98</f>
        <v>0</v>
      </c>
      <c r="AN98" s="165">
        <f>+WPF_bazowy!AN98</f>
        <v>0</v>
      </c>
      <c r="AO98" s="165">
        <f>+WPF_bazowy!AO98</f>
        <v>0</v>
      </c>
      <c r="AP98" s="165">
        <f>+WPF_bazowy!AP98</f>
        <v>0</v>
      </c>
      <c r="AQ98" s="165">
        <f>+WPF_bazowy!AQ98</f>
        <v>0</v>
      </c>
      <c r="AR98" s="165">
        <f>+WPF_bazowy!AR98</f>
        <v>0</v>
      </c>
      <c r="AS98" s="165">
        <f>+WPF_bazowy!AS98</f>
        <v>0</v>
      </c>
      <c r="AT98" s="165">
        <f>+WPF_bazowy!AT98</f>
        <v>0</v>
      </c>
      <c r="AU98" s="165">
        <f>+WPF_bazowy!AU98</f>
        <v>0</v>
      </c>
      <c r="AV98" s="165">
        <f>+WPF_bazowy!AV98</f>
        <v>0</v>
      </c>
      <c r="AW98" s="165">
        <f>+WPF_bazowy!AW98</f>
        <v>0</v>
      </c>
      <c r="AX98" s="165">
        <f>+WPF_bazowy!AX98</f>
        <v>0</v>
      </c>
      <c r="AY98" s="165">
        <f>+WPF_bazowy!AY98</f>
        <v>0</v>
      </c>
      <c r="AZ98" s="165">
        <f>+WPF_bazowy!AZ98</f>
        <v>0</v>
      </c>
      <c r="BA98" s="178">
        <f>+WPF_bazowy!BA98</f>
        <v>0</v>
      </c>
    </row>
    <row r="99" spans="1:54" outlineLevel="1">
      <c r="A99" s="127" t="s">
        <v>27</v>
      </c>
      <c r="C99" s="162" t="s">
        <v>310</v>
      </c>
      <c r="D99" s="169"/>
      <c r="E99" s="234" t="s">
        <v>100</v>
      </c>
      <c r="F99" s="164">
        <f>+WPF_bazowy!F99+Symulacja!F40+Symulacja!F41</f>
        <v>0</v>
      </c>
      <c r="G99" s="164">
        <f>+WPF_bazowy!G99+Symulacja!G40+Symulacja!G41</f>
        <v>0</v>
      </c>
      <c r="H99" s="164">
        <f>+WPF_bazowy!H99+Symulacja!H40+Symulacja!H41</f>
        <v>0</v>
      </c>
      <c r="I99" s="164">
        <f>+WPF_bazowy!I99+Symulacja!I40+Symulacja!I41</f>
        <v>0</v>
      </c>
      <c r="J99" s="164">
        <f>+WPF_bazowy!J99+Symulacja!J40+Symulacja!J41</f>
        <v>0</v>
      </c>
      <c r="K99" s="165">
        <f>+WPF_bazowy!K99+Symulacja!K40+Symulacja!K41</f>
        <v>0</v>
      </c>
      <c r="L99" s="165">
        <f>+WPF_bazowy!L99+Symulacja!L40+Symulacja!L41</f>
        <v>0</v>
      </c>
      <c r="M99" s="250">
        <f>+WPF_bazowy!M99+Symulacja!M40+Symulacja!M41</f>
        <v>0</v>
      </c>
      <c r="N99" s="251">
        <f>+WPF_bazowy!N99+Symulacja!N40+Symulacja!N41</f>
        <v>0</v>
      </c>
      <c r="O99" s="252">
        <f>+WPF_bazowy!O99+Symulacja!O40+Symulacja!O41</f>
        <v>0</v>
      </c>
      <c r="P99" s="252">
        <f>+WPF_bazowy!P99+Symulacja!P40+Symulacja!P41</f>
        <v>0</v>
      </c>
      <c r="Q99" s="252">
        <f>+WPF_bazowy!Q99+Symulacja!Q40+Symulacja!Q41</f>
        <v>0</v>
      </c>
      <c r="R99" s="252">
        <f>+WPF_bazowy!R99+Symulacja!R40+Symulacja!R41</f>
        <v>0</v>
      </c>
      <c r="S99" s="252">
        <f>+WPF_bazowy!S99+Symulacja!S40+Symulacja!S41</f>
        <v>0</v>
      </c>
      <c r="T99" s="252">
        <f>+WPF_bazowy!T99+Symulacja!T40+Symulacja!T41</f>
        <v>0</v>
      </c>
      <c r="U99" s="252">
        <f>+WPF_bazowy!U99+Symulacja!U40+Symulacja!U41</f>
        <v>0</v>
      </c>
      <c r="V99" s="252">
        <f>+WPF_bazowy!V99+Symulacja!V40+Symulacja!V41</f>
        <v>0</v>
      </c>
      <c r="W99" s="252">
        <f>+WPF_bazowy!W99+Symulacja!W40+Symulacja!W41</f>
        <v>0</v>
      </c>
      <c r="X99" s="252">
        <f>+WPF_bazowy!X99+Symulacja!X40+Symulacja!X41</f>
        <v>0</v>
      </c>
      <c r="Y99" s="252">
        <f>+WPF_bazowy!Y99+Symulacja!Y40+Symulacja!Y41</f>
        <v>0</v>
      </c>
      <c r="Z99" s="252">
        <f>+WPF_bazowy!Z99+Symulacja!Z40+Symulacja!Z41</f>
        <v>0</v>
      </c>
      <c r="AA99" s="252">
        <f>+WPF_bazowy!AA99+Symulacja!AA40+Symulacja!AA41</f>
        <v>0</v>
      </c>
      <c r="AB99" s="252">
        <f>+WPF_bazowy!AB99+Symulacja!AB40+Symulacja!AB41</f>
        <v>0</v>
      </c>
      <c r="AC99" s="252">
        <f>+WPF_bazowy!AC99+Symulacja!AC40+Symulacja!AC41</f>
        <v>0</v>
      </c>
      <c r="AD99" s="252">
        <f>+WPF_bazowy!AD99+Symulacja!AD40+Symulacja!AD41</f>
        <v>0</v>
      </c>
      <c r="AE99" s="252">
        <f>+WPF_bazowy!AE99+Symulacja!AE40+Symulacja!AE41</f>
        <v>0</v>
      </c>
      <c r="AF99" s="252">
        <f>+WPF_bazowy!AF99+Symulacja!AF40+Symulacja!AF41</f>
        <v>0</v>
      </c>
      <c r="AG99" s="252">
        <f>+WPF_bazowy!AG99+Symulacja!AG40+Symulacja!AG41</f>
        <v>0</v>
      </c>
      <c r="AH99" s="252">
        <f>+WPF_bazowy!AH99+Symulacja!AH40+Symulacja!AH41</f>
        <v>0</v>
      </c>
      <c r="AI99" s="252">
        <f>+WPF_bazowy!AI99+Symulacja!AI40+Symulacja!AI41</f>
        <v>0</v>
      </c>
      <c r="AJ99" s="252">
        <f>+WPF_bazowy!AJ99+Symulacja!AJ40+Symulacja!AJ41</f>
        <v>0</v>
      </c>
      <c r="AK99" s="252">
        <f>+WPF_bazowy!AK99+Symulacja!AK40+Symulacja!AK41</f>
        <v>0</v>
      </c>
      <c r="AL99" s="252">
        <f>+WPF_bazowy!AL99+Symulacja!AL40+Symulacja!AL41</f>
        <v>0</v>
      </c>
      <c r="AM99" s="252">
        <f>+WPF_bazowy!AM99+Symulacja!AM40+Symulacja!AM41</f>
        <v>0</v>
      </c>
      <c r="AN99" s="252">
        <f>+WPF_bazowy!AN99+Symulacja!AN40+Symulacja!AN41</f>
        <v>0</v>
      </c>
      <c r="AO99" s="252">
        <f>+WPF_bazowy!AO99+Symulacja!AO40+Symulacja!AO41</f>
        <v>0</v>
      </c>
      <c r="AP99" s="252">
        <f>+WPF_bazowy!AP99+Symulacja!AP40+Symulacja!AP41</f>
        <v>0</v>
      </c>
      <c r="AQ99" s="252">
        <f>+WPF_bazowy!AQ99+Symulacja!AQ40+Symulacja!AQ41</f>
        <v>0</v>
      </c>
      <c r="AR99" s="252">
        <f>+WPF_bazowy!AR99+Symulacja!AR40+Symulacja!AR41</f>
        <v>0</v>
      </c>
      <c r="AS99" s="252">
        <f>+WPF_bazowy!AS99+Symulacja!AS40+Symulacja!AS41</f>
        <v>0</v>
      </c>
      <c r="AT99" s="252">
        <f>+WPF_bazowy!AT99+Symulacja!AT40+Symulacja!AT41</f>
        <v>0</v>
      </c>
      <c r="AU99" s="252">
        <f>+WPF_bazowy!AU99+Symulacja!AU40+Symulacja!AU41</f>
        <v>0</v>
      </c>
      <c r="AV99" s="252">
        <f>+WPF_bazowy!AV99+Symulacja!AV40+Symulacja!AV41</f>
        <v>0</v>
      </c>
      <c r="AW99" s="252">
        <f>+WPF_bazowy!AW99+Symulacja!AW40+Symulacja!AW41</f>
        <v>0</v>
      </c>
      <c r="AX99" s="252">
        <f>+WPF_bazowy!AX99+Symulacja!AX40+Symulacja!AX41</f>
        <v>0</v>
      </c>
      <c r="AY99" s="252">
        <f>+WPF_bazowy!AY99+Symulacja!AY40+Symulacja!AY41</f>
        <v>0</v>
      </c>
      <c r="AZ99" s="252">
        <f>+WPF_bazowy!AZ99+Symulacja!AZ40+Symulacja!AZ41</f>
        <v>0</v>
      </c>
      <c r="BA99" s="253">
        <f>+WPF_bazowy!BA99+Symulacja!BA40+Symulacja!BA41</f>
        <v>0</v>
      </c>
    </row>
    <row r="100" spans="1:54" outlineLevel="2">
      <c r="A100" s="127" t="s">
        <v>27</v>
      </c>
      <c r="C100" s="162" t="s">
        <v>293</v>
      </c>
      <c r="D100" s="169"/>
      <c r="E100" s="213" t="s">
        <v>346</v>
      </c>
      <c r="F100" s="164">
        <f>+WPF_bazowy!F100</f>
        <v>0</v>
      </c>
      <c r="G100" s="164">
        <f>+WPF_bazowy!G100</f>
        <v>0</v>
      </c>
      <c r="H100" s="164">
        <f>+WPF_bazowy!H100</f>
        <v>0</v>
      </c>
      <c r="I100" s="164">
        <f>+WPF_bazowy!I100</f>
        <v>0</v>
      </c>
      <c r="J100" s="164">
        <f>+WPF_bazowy!J100</f>
        <v>0</v>
      </c>
      <c r="K100" s="165">
        <f>+WPF_bazowy!K100</f>
        <v>0</v>
      </c>
      <c r="L100" s="165">
        <f>+WPF_bazowy!L100</f>
        <v>0</v>
      </c>
      <c r="M100" s="250">
        <f>+WPF_bazowy!M100</f>
        <v>0</v>
      </c>
      <c r="N100" s="164">
        <f>+WPF_bazowy!N100</f>
        <v>0</v>
      </c>
      <c r="O100" s="165">
        <f>+WPF_bazowy!O100</f>
        <v>0</v>
      </c>
      <c r="P100" s="165">
        <f>+WPF_bazowy!P100</f>
        <v>0</v>
      </c>
      <c r="Q100" s="165">
        <f>+WPF_bazowy!Q100</f>
        <v>0</v>
      </c>
      <c r="R100" s="165">
        <f>+WPF_bazowy!R100</f>
        <v>0</v>
      </c>
      <c r="S100" s="165">
        <f>+WPF_bazowy!S100</f>
        <v>0</v>
      </c>
      <c r="T100" s="165">
        <f>+WPF_bazowy!T100</f>
        <v>0</v>
      </c>
      <c r="U100" s="165">
        <f>+WPF_bazowy!U100</f>
        <v>0</v>
      </c>
      <c r="V100" s="165">
        <f>+WPF_bazowy!V100</f>
        <v>0</v>
      </c>
      <c r="W100" s="165">
        <f>+WPF_bazowy!W100</f>
        <v>0</v>
      </c>
      <c r="X100" s="165">
        <f>+WPF_bazowy!X100</f>
        <v>0</v>
      </c>
      <c r="Y100" s="165">
        <f>+WPF_bazowy!Y100</f>
        <v>0</v>
      </c>
      <c r="Z100" s="165">
        <f>+WPF_bazowy!Z100</f>
        <v>0</v>
      </c>
      <c r="AA100" s="165">
        <f>+WPF_bazowy!AA100</f>
        <v>0</v>
      </c>
      <c r="AB100" s="165">
        <f>+WPF_bazowy!AB100</f>
        <v>0</v>
      </c>
      <c r="AC100" s="165">
        <f>+WPF_bazowy!AC100</f>
        <v>0</v>
      </c>
      <c r="AD100" s="165">
        <f>+WPF_bazowy!AD100</f>
        <v>0</v>
      </c>
      <c r="AE100" s="165">
        <f>+WPF_bazowy!AE100</f>
        <v>0</v>
      </c>
      <c r="AF100" s="165">
        <f>+WPF_bazowy!AF100</f>
        <v>0</v>
      </c>
      <c r="AG100" s="165">
        <f>+WPF_bazowy!AG100</f>
        <v>0</v>
      </c>
      <c r="AH100" s="165">
        <f>+WPF_bazowy!AH100</f>
        <v>0</v>
      </c>
      <c r="AI100" s="165">
        <f>+WPF_bazowy!AI100</f>
        <v>0</v>
      </c>
      <c r="AJ100" s="165">
        <f>+WPF_bazowy!AJ100</f>
        <v>0</v>
      </c>
      <c r="AK100" s="165">
        <f>+WPF_bazowy!AK100</f>
        <v>0</v>
      </c>
      <c r="AL100" s="165">
        <f>+WPF_bazowy!AL100</f>
        <v>0</v>
      </c>
      <c r="AM100" s="165">
        <f>+WPF_bazowy!AM100</f>
        <v>0</v>
      </c>
      <c r="AN100" s="165">
        <f>+WPF_bazowy!AN100</f>
        <v>0</v>
      </c>
      <c r="AO100" s="165">
        <f>+WPF_bazowy!AO100</f>
        <v>0</v>
      </c>
      <c r="AP100" s="165">
        <f>+WPF_bazowy!AP100</f>
        <v>0</v>
      </c>
      <c r="AQ100" s="165">
        <f>+WPF_bazowy!AQ100</f>
        <v>0</v>
      </c>
      <c r="AR100" s="165">
        <f>+WPF_bazowy!AR100</f>
        <v>0</v>
      </c>
      <c r="AS100" s="165">
        <f>+WPF_bazowy!AS100</f>
        <v>0</v>
      </c>
      <c r="AT100" s="165">
        <f>+WPF_bazowy!AT100</f>
        <v>0</v>
      </c>
      <c r="AU100" s="165">
        <f>+WPF_bazowy!AU100</f>
        <v>0</v>
      </c>
      <c r="AV100" s="165">
        <f>+WPF_bazowy!AV100</f>
        <v>0</v>
      </c>
      <c r="AW100" s="165">
        <f>+WPF_bazowy!AW100</f>
        <v>0</v>
      </c>
      <c r="AX100" s="165">
        <f>+WPF_bazowy!AX100</f>
        <v>0</v>
      </c>
      <c r="AY100" s="165">
        <f>+WPF_bazowy!AY100</f>
        <v>0</v>
      </c>
      <c r="AZ100" s="165">
        <f>+WPF_bazowy!AZ100</f>
        <v>0</v>
      </c>
      <c r="BA100" s="178">
        <f>+WPF_bazowy!BA100</f>
        <v>0</v>
      </c>
    </row>
    <row r="101" spans="1:54" ht="15" outlineLevel="2">
      <c r="A101" s="127" t="s">
        <v>27</v>
      </c>
      <c r="B101" s="238" t="s">
        <v>27</v>
      </c>
      <c r="C101" s="162" t="s">
        <v>294</v>
      </c>
      <c r="D101" s="169"/>
      <c r="E101" s="217" t="s">
        <v>347</v>
      </c>
      <c r="F101" s="164">
        <f>+WPF_bazowy!F101+Symulacja!F40+Symulacja!F41</f>
        <v>0</v>
      </c>
      <c r="G101" s="164">
        <f>+WPF_bazowy!G101+Symulacja!G40+Symulacja!G41</f>
        <v>0</v>
      </c>
      <c r="H101" s="164">
        <f>+WPF_bazowy!H101+Symulacja!H40+Symulacja!H41</f>
        <v>0</v>
      </c>
      <c r="I101" s="164">
        <f>+WPF_bazowy!I101+Symulacja!I40+Symulacja!I41</f>
        <v>0</v>
      </c>
      <c r="J101" s="164">
        <f>+WPF_bazowy!J101+Symulacja!J40+Symulacja!J41</f>
        <v>0</v>
      </c>
      <c r="K101" s="165">
        <f>+WPF_bazowy!K101+Symulacja!K40+Symulacja!K41</f>
        <v>0</v>
      </c>
      <c r="L101" s="165">
        <f>+WPF_bazowy!L101+Symulacja!L40+Symulacja!L41</f>
        <v>0</v>
      </c>
      <c r="M101" s="250">
        <f>+WPF_bazowy!M101+Symulacja!M40+Symulacja!M41</f>
        <v>0</v>
      </c>
      <c r="N101" s="251">
        <f>+WPF_bazowy!N101+Symulacja!N40+Symulacja!N41</f>
        <v>0</v>
      </c>
      <c r="O101" s="252">
        <f>+WPF_bazowy!O101+Symulacja!O40+Symulacja!O41</f>
        <v>0</v>
      </c>
      <c r="P101" s="252">
        <f>+WPF_bazowy!P101+Symulacja!P40+Symulacja!P41</f>
        <v>0</v>
      </c>
      <c r="Q101" s="252">
        <f>+WPF_bazowy!Q101+Symulacja!Q40+Symulacja!Q41</f>
        <v>0</v>
      </c>
      <c r="R101" s="252">
        <f>+WPF_bazowy!R101+Symulacja!R40+Symulacja!R41</f>
        <v>0</v>
      </c>
      <c r="S101" s="252">
        <f>+WPF_bazowy!S101+Symulacja!S40+Symulacja!S41</f>
        <v>0</v>
      </c>
      <c r="T101" s="252">
        <f>+WPF_bazowy!T101+Symulacja!T40+Symulacja!T41</f>
        <v>0</v>
      </c>
      <c r="U101" s="252">
        <f>+WPF_bazowy!U101+Symulacja!U40+Symulacja!U41</f>
        <v>0</v>
      </c>
      <c r="V101" s="252">
        <f>+WPF_bazowy!V101+Symulacja!V40+Symulacja!V41</f>
        <v>0</v>
      </c>
      <c r="W101" s="252">
        <f>+WPF_bazowy!W101+Symulacja!W40+Symulacja!W41</f>
        <v>0</v>
      </c>
      <c r="X101" s="252">
        <f>+WPF_bazowy!X101+Symulacja!X40+Symulacja!X41</f>
        <v>0</v>
      </c>
      <c r="Y101" s="252">
        <f>+WPF_bazowy!Y101+Symulacja!Y40+Symulacja!Y41</f>
        <v>0</v>
      </c>
      <c r="Z101" s="252">
        <f>+WPF_bazowy!Z101+Symulacja!Z40+Symulacja!Z41</f>
        <v>0</v>
      </c>
      <c r="AA101" s="252">
        <f>+WPF_bazowy!AA101+Symulacja!AA40+Symulacja!AA41</f>
        <v>0</v>
      </c>
      <c r="AB101" s="252">
        <f>+WPF_bazowy!AB101+Symulacja!AB40+Symulacja!AB41</f>
        <v>0</v>
      </c>
      <c r="AC101" s="252">
        <f>+WPF_bazowy!AC101+Symulacja!AC40+Symulacja!AC41</f>
        <v>0</v>
      </c>
      <c r="AD101" s="252">
        <f>+WPF_bazowy!AD101+Symulacja!AD40+Symulacja!AD41</f>
        <v>0</v>
      </c>
      <c r="AE101" s="252">
        <f>+WPF_bazowy!AE101+Symulacja!AE40+Symulacja!AE41</f>
        <v>0</v>
      </c>
      <c r="AF101" s="252">
        <f>+WPF_bazowy!AF101+Symulacja!AF40+Symulacja!AF41</f>
        <v>0</v>
      </c>
      <c r="AG101" s="252">
        <f>+WPF_bazowy!AG101+Symulacja!AG40+Symulacja!AG41</f>
        <v>0</v>
      </c>
      <c r="AH101" s="252">
        <f>+WPF_bazowy!AH101+Symulacja!AH40+Symulacja!AH41</f>
        <v>0</v>
      </c>
      <c r="AI101" s="252">
        <f>+WPF_bazowy!AI101+Symulacja!AI40+Symulacja!AI41</f>
        <v>0</v>
      </c>
      <c r="AJ101" s="252">
        <f>+WPF_bazowy!AJ101+Symulacja!AJ40+Symulacja!AJ41</f>
        <v>0</v>
      </c>
      <c r="AK101" s="252">
        <f>+WPF_bazowy!AK101+Symulacja!AK40+Symulacja!AK41</f>
        <v>0</v>
      </c>
      <c r="AL101" s="252">
        <f>+WPF_bazowy!AL101+Symulacja!AL40+Symulacja!AL41</f>
        <v>0</v>
      </c>
      <c r="AM101" s="252">
        <f>+WPF_bazowy!AM101+Symulacja!AM40+Symulacja!AM41</f>
        <v>0</v>
      </c>
      <c r="AN101" s="252">
        <f>+WPF_bazowy!AN101+Symulacja!AN40+Symulacja!AN41</f>
        <v>0</v>
      </c>
      <c r="AO101" s="252">
        <f>+WPF_bazowy!AO101+Symulacja!AO40+Symulacja!AO41</f>
        <v>0</v>
      </c>
      <c r="AP101" s="252">
        <f>+WPF_bazowy!AP101+Symulacja!AP40+Symulacja!AP41</f>
        <v>0</v>
      </c>
      <c r="AQ101" s="252">
        <f>+WPF_bazowy!AQ101+Symulacja!AQ40+Symulacja!AQ41</f>
        <v>0</v>
      </c>
      <c r="AR101" s="252">
        <f>+WPF_bazowy!AR101+Symulacja!AR40+Symulacja!AR41</f>
        <v>0</v>
      </c>
      <c r="AS101" s="252">
        <f>+WPF_bazowy!AS101+Symulacja!AS40+Symulacja!AS41</f>
        <v>0</v>
      </c>
      <c r="AT101" s="252">
        <f>+WPF_bazowy!AT101+Symulacja!AT40+Symulacja!AT41</f>
        <v>0</v>
      </c>
      <c r="AU101" s="252">
        <f>+WPF_bazowy!AU101+Symulacja!AU40+Symulacja!AU41</f>
        <v>0</v>
      </c>
      <c r="AV101" s="252">
        <f>+WPF_bazowy!AV101+Symulacja!AV40+Symulacja!AV41</f>
        <v>0</v>
      </c>
      <c r="AW101" s="252">
        <f>+WPF_bazowy!AW101+Symulacja!AW40+Symulacja!AW41</f>
        <v>0</v>
      </c>
      <c r="AX101" s="252">
        <f>+WPF_bazowy!AX101+Symulacja!AX40+Symulacja!AX41</f>
        <v>0</v>
      </c>
      <c r="AY101" s="252">
        <f>+WPF_bazowy!AY101+Symulacja!AY40+Symulacja!AY41</f>
        <v>0</v>
      </c>
      <c r="AZ101" s="252">
        <f>+WPF_bazowy!AZ101+Symulacja!AZ40+Symulacja!AZ41</f>
        <v>0</v>
      </c>
      <c r="BA101" s="253">
        <f>+WPF_bazowy!BA101+Symulacja!BA40+Symulacja!BA41</f>
        <v>0</v>
      </c>
      <c r="BB101" s="153"/>
    </row>
    <row r="102" spans="1:54" outlineLevel="3">
      <c r="A102" s="127" t="s">
        <v>27</v>
      </c>
      <c r="B102" s="238" t="s">
        <v>27</v>
      </c>
      <c r="C102" s="162" t="s">
        <v>295</v>
      </c>
      <c r="D102" s="169"/>
      <c r="E102" s="232" t="s">
        <v>348</v>
      </c>
      <c r="F102" s="164">
        <f>+WPF_bazowy!F102+Symulacja!F40+Symulacja!F41</f>
        <v>0</v>
      </c>
      <c r="G102" s="164">
        <f>+WPF_bazowy!G102+Symulacja!G40+Symulacja!G41</f>
        <v>0</v>
      </c>
      <c r="H102" s="164">
        <f>+WPF_bazowy!H102+Symulacja!H40+Symulacja!H41</f>
        <v>0</v>
      </c>
      <c r="I102" s="164">
        <f>+WPF_bazowy!I102+Symulacja!I40+Symulacja!I41</f>
        <v>0</v>
      </c>
      <c r="J102" s="164">
        <f>+WPF_bazowy!J102+Symulacja!J40+Symulacja!J41</f>
        <v>0</v>
      </c>
      <c r="K102" s="165">
        <f>+WPF_bazowy!K102+Symulacja!K40+Symulacja!K41</f>
        <v>0</v>
      </c>
      <c r="L102" s="165">
        <f>+WPF_bazowy!L102+Symulacja!L40+Symulacja!L41</f>
        <v>0</v>
      </c>
      <c r="M102" s="250">
        <f>+WPF_bazowy!M102+Symulacja!M40+Symulacja!M41</f>
        <v>0</v>
      </c>
      <c r="N102" s="251">
        <f>+WPF_bazowy!N102+Symulacja!N40+Symulacja!N41</f>
        <v>0</v>
      </c>
      <c r="O102" s="252">
        <f>+WPF_bazowy!O102+Symulacja!O40+Symulacja!O41</f>
        <v>0</v>
      </c>
      <c r="P102" s="252">
        <f>+WPF_bazowy!P102+Symulacja!P40+Symulacja!P41</f>
        <v>0</v>
      </c>
      <c r="Q102" s="252">
        <f>+WPF_bazowy!Q102+Symulacja!Q40+Symulacja!Q41</f>
        <v>0</v>
      </c>
      <c r="R102" s="252">
        <f>+WPF_bazowy!R102+Symulacja!R40+Symulacja!R41</f>
        <v>0</v>
      </c>
      <c r="S102" s="252">
        <f>+WPF_bazowy!S102+Symulacja!S40+Symulacja!S41</f>
        <v>0</v>
      </c>
      <c r="T102" s="252">
        <f>+WPF_bazowy!T102+Symulacja!T40+Symulacja!T41</f>
        <v>0</v>
      </c>
      <c r="U102" s="252">
        <f>+WPF_bazowy!U102+Symulacja!U40+Symulacja!U41</f>
        <v>0</v>
      </c>
      <c r="V102" s="252">
        <f>+WPF_bazowy!V102+Symulacja!V40+Symulacja!V41</f>
        <v>0</v>
      </c>
      <c r="W102" s="252">
        <f>+WPF_bazowy!W102+Symulacja!W40+Symulacja!W41</f>
        <v>0</v>
      </c>
      <c r="X102" s="252">
        <f>+WPF_bazowy!X102+Symulacja!X40+Symulacja!X41</f>
        <v>0</v>
      </c>
      <c r="Y102" s="252">
        <f>+WPF_bazowy!Y102+Symulacja!Y40+Symulacja!Y41</f>
        <v>0</v>
      </c>
      <c r="Z102" s="252">
        <f>+WPF_bazowy!Z102+Symulacja!Z40+Symulacja!Z41</f>
        <v>0</v>
      </c>
      <c r="AA102" s="252">
        <f>+WPF_bazowy!AA102+Symulacja!AA40+Symulacja!AA41</f>
        <v>0</v>
      </c>
      <c r="AB102" s="252">
        <f>+WPF_bazowy!AB102+Symulacja!AB40+Symulacja!AB41</f>
        <v>0</v>
      </c>
      <c r="AC102" s="252">
        <f>+WPF_bazowy!AC102+Symulacja!AC40+Symulacja!AC41</f>
        <v>0</v>
      </c>
      <c r="AD102" s="252">
        <f>+WPF_bazowy!AD102+Symulacja!AD40+Symulacja!AD41</f>
        <v>0</v>
      </c>
      <c r="AE102" s="252">
        <f>+WPF_bazowy!AE102+Symulacja!AE40+Symulacja!AE41</f>
        <v>0</v>
      </c>
      <c r="AF102" s="252">
        <f>+WPF_bazowy!AF102+Symulacja!AF40+Symulacja!AF41</f>
        <v>0</v>
      </c>
      <c r="AG102" s="252">
        <f>+WPF_bazowy!AG102+Symulacja!AG40+Symulacja!AG41</f>
        <v>0</v>
      </c>
      <c r="AH102" s="252">
        <f>+WPF_bazowy!AH102+Symulacja!AH40+Symulacja!AH41</f>
        <v>0</v>
      </c>
      <c r="AI102" s="252">
        <f>+WPF_bazowy!AI102+Symulacja!AI40+Symulacja!AI41</f>
        <v>0</v>
      </c>
      <c r="AJ102" s="252">
        <f>+WPF_bazowy!AJ102+Symulacja!AJ40+Symulacja!AJ41</f>
        <v>0</v>
      </c>
      <c r="AK102" s="252">
        <f>+WPF_bazowy!AK102+Symulacja!AK40+Symulacja!AK41</f>
        <v>0</v>
      </c>
      <c r="AL102" s="252">
        <f>+WPF_bazowy!AL102+Symulacja!AL40+Symulacja!AL41</f>
        <v>0</v>
      </c>
      <c r="AM102" s="252">
        <f>+WPF_bazowy!AM102+Symulacja!AM40+Symulacja!AM41</f>
        <v>0</v>
      </c>
      <c r="AN102" s="252">
        <f>+WPF_bazowy!AN102+Symulacja!AN40+Symulacja!AN41</f>
        <v>0</v>
      </c>
      <c r="AO102" s="252">
        <f>+WPF_bazowy!AO102+Symulacja!AO40+Symulacja!AO41</f>
        <v>0</v>
      </c>
      <c r="AP102" s="252">
        <f>+WPF_bazowy!AP102+Symulacja!AP40+Symulacja!AP41</f>
        <v>0</v>
      </c>
      <c r="AQ102" s="252">
        <f>+WPF_bazowy!AQ102+Symulacja!AQ40+Symulacja!AQ41</f>
        <v>0</v>
      </c>
      <c r="AR102" s="252">
        <f>+WPF_bazowy!AR102+Symulacja!AR40+Symulacja!AR41</f>
        <v>0</v>
      </c>
      <c r="AS102" s="252">
        <f>+WPF_bazowy!AS102+Symulacja!AS40+Symulacja!AS41</f>
        <v>0</v>
      </c>
      <c r="AT102" s="252">
        <f>+WPF_bazowy!AT102+Symulacja!AT40+Symulacja!AT41</f>
        <v>0</v>
      </c>
      <c r="AU102" s="252">
        <f>+WPF_bazowy!AU102+Symulacja!AU40+Symulacja!AU41</f>
        <v>0</v>
      </c>
      <c r="AV102" s="252">
        <f>+WPF_bazowy!AV102+Symulacja!AV40+Symulacja!AV41</f>
        <v>0</v>
      </c>
      <c r="AW102" s="252">
        <f>+WPF_bazowy!AW102+Symulacja!AW40+Symulacja!AW41</f>
        <v>0</v>
      </c>
      <c r="AX102" s="252">
        <f>+WPF_bazowy!AX102+Symulacja!AX40+Symulacja!AX41</f>
        <v>0</v>
      </c>
      <c r="AY102" s="252">
        <f>+WPF_bazowy!AY102+Symulacja!AY40+Symulacja!AY41</f>
        <v>0</v>
      </c>
      <c r="AZ102" s="252">
        <f>+WPF_bazowy!AZ102+Symulacja!AZ40+Symulacja!AZ41</f>
        <v>0</v>
      </c>
      <c r="BA102" s="253">
        <f>+WPF_bazowy!BA102+Symulacja!BA40+Symulacja!BA41</f>
        <v>0</v>
      </c>
    </row>
    <row r="103" spans="1:54" outlineLevel="4">
      <c r="A103" s="127" t="s">
        <v>27</v>
      </c>
      <c r="B103" s="238" t="s">
        <v>27</v>
      </c>
      <c r="C103" s="162" t="s">
        <v>296</v>
      </c>
      <c r="D103" s="169"/>
      <c r="E103" s="216" t="s">
        <v>349</v>
      </c>
      <c r="F103" s="164">
        <f>+WPF_bazowy!F103+Symulacja!F41</f>
        <v>0</v>
      </c>
      <c r="G103" s="164">
        <f>+WPF_bazowy!G103+Symulacja!G41</f>
        <v>0</v>
      </c>
      <c r="H103" s="164">
        <f>+WPF_bazowy!H103+Symulacja!H41</f>
        <v>0</v>
      </c>
      <c r="I103" s="164">
        <f>+WPF_bazowy!I103+Symulacja!I41</f>
        <v>0</v>
      </c>
      <c r="J103" s="164">
        <f>+WPF_bazowy!J103+Symulacja!J41</f>
        <v>0</v>
      </c>
      <c r="K103" s="165">
        <f>+WPF_bazowy!K103+Symulacja!K41</f>
        <v>0</v>
      </c>
      <c r="L103" s="165">
        <f>+WPF_bazowy!L103+Symulacja!L41</f>
        <v>0</v>
      </c>
      <c r="M103" s="250">
        <f>+WPF_bazowy!M103+Symulacja!M41</f>
        <v>0</v>
      </c>
      <c r="N103" s="251">
        <f>+WPF_bazowy!N103+Symulacja!N41</f>
        <v>0</v>
      </c>
      <c r="O103" s="252">
        <f>+WPF_bazowy!O103+Symulacja!O41</f>
        <v>0</v>
      </c>
      <c r="P103" s="252">
        <f>+WPF_bazowy!P103+Symulacja!P41</f>
        <v>0</v>
      </c>
      <c r="Q103" s="252">
        <f>+WPF_bazowy!Q103+Symulacja!Q41</f>
        <v>0</v>
      </c>
      <c r="R103" s="252">
        <f>+WPF_bazowy!R103+Symulacja!R41</f>
        <v>0</v>
      </c>
      <c r="S103" s="252">
        <f>+WPF_bazowy!S103+Symulacja!S41</f>
        <v>0</v>
      </c>
      <c r="T103" s="252">
        <f>+WPF_bazowy!T103+Symulacja!T41</f>
        <v>0</v>
      </c>
      <c r="U103" s="252">
        <f>+WPF_bazowy!U103+Symulacja!U41</f>
        <v>0</v>
      </c>
      <c r="V103" s="252">
        <f>+WPF_bazowy!V103+Symulacja!V41</f>
        <v>0</v>
      </c>
      <c r="W103" s="252">
        <f>+WPF_bazowy!W103+Symulacja!W41</f>
        <v>0</v>
      </c>
      <c r="X103" s="252">
        <f>+WPF_bazowy!X103+Symulacja!X41</f>
        <v>0</v>
      </c>
      <c r="Y103" s="252">
        <f>+WPF_bazowy!Y103+Symulacja!Y41</f>
        <v>0</v>
      </c>
      <c r="Z103" s="252">
        <f>+WPF_bazowy!Z103+Symulacja!Z41</f>
        <v>0</v>
      </c>
      <c r="AA103" s="252">
        <f>+WPF_bazowy!AA103+Symulacja!AA41</f>
        <v>0</v>
      </c>
      <c r="AB103" s="252">
        <f>+WPF_bazowy!AB103+Symulacja!AB41</f>
        <v>0</v>
      </c>
      <c r="AC103" s="252">
        <f>+WPF_bazowy!AC103+Symulacja!AC41</f>
        <v>0</v>
      </c>
      <c r="AD103" s="252">
        <f>+WPF_bazowy!AD103+Symulacja!AD41</f>
        <v>0</v>
      </c>
      <c r="AE103" s="252">
        <f>+WPF_bazowy!AE103+Symulacja!AE41</f>
        <v>0</v>
      </c>
      <c r="AF103" s="252">
        <f>+WPF_bazowy!AF103+Symulacja!AF41</f>
        <v>0</v>
      </c>
      <c r="AG103" s="252">
        <f>+WPF_bazowy!AG103+Symulacja!AG41</f>
        <v>0</v>
      </c>
      <c r="AH103" s="252">
        <f>+WPF_bazowy!AH103+Symulacja!AH41</f>
        <v>0</v>
      </c>
      <c r="AI103" s="252">
        <f>+WPF_bazowy!AI103+Symulacja!AI41</f>
        <v>0</v>
      </c>
      <c r="AJ103" s="252">
        <f>+WPF_bazowy!AJ103+Symulacja!AJ41</f>
        <v>0</v>
      </c>
      <c r="AK103" s="252">
        <f>+WPF_bazowy!AK103+Symulacja!AK41</f>
        <v>0</v>
      </c>
      <c r="AL103" s="252">
        <f>+WPF_bazowy!AL103+Symulacja!AL41</f>
        <v>0</v>
      </c>
      <c r="AM103" s="252">
        <f>+WPF_bazowy!AM103+Symulacja!AM41</f>
        <v>0</v>
      </c>
      <c r="AN103" s="252">
        <f>+WPF_bazowy!AN103+Symulacja!AN41</f>
        <v>0</v>
      </c>
      <c r="AO103" s="252">
        <f>+WPF_bazowy!AO103+Symulacja!AO41</f>
        <v>0</v>
      </c>
      <c r="AP103" s="252">
        <f>+WPF_bazowy!AP103+Symulacja!AP41</f>
        <v>0</v>
      </c>
      <c r="AQ103" s="252">
        <f>+WPF_bazowy!AQ103+Symulacja!AQ41</f>
        <v>0</v>
      </c>
      <c r="AR103" s="252">
        <f>+WPF_bazowy!AR103+Symulacja!AR41</f>
        <v>0</v>
      </c>
      <c r="AS103" s="252">
        <f>+WPF_bazowy!AS103+Symulacja!AS41</f>
        <v>0</v>
      </c>
      <c r="AT103" s="252">
        <f>+WPF_bazowy!AT103+Symulacja!AT41</f>
        <v>0</v>
      </c>
      <c r="AU103" s="252">
        <f>+WPF_bazowy!AU103+Symulacja!AU41</f>
        <v>0</v>
      </c>
      <c r="AV103" s="252">
        <f>+WPF_bazowy!AV103+Symulacja!AV41</f>
        <v>0</v>
      </c>
      <c r="AW103" s="252">
        <f>+WPF_bazowy!AW103+Symulacja!AW41</f>
        <v>0</v>
      </c>
      <c r="AX103" s="252">
        <f>+WPF_bazowy!AX103+Symulacja!AX41</f>
        <v>0</v>
      </c>
      <c r="AY103" s="252">
        <f>+WPF_bazowy!AY103+Symulacja!AY41</f>
        <v>0</v>
      </c>
      <c r="AZ103" s="252">
        <f>+WPF_bazowy!AZ103+Symulacja!AZ41</f>
        <v>0</v>
      </c>
      <c r="BA103" s="253">
        <f>+WPF_bazowy!BA103+Symulacja!BA41</f>
        <v>0</v>
      </c>
    </row>
    <row r="104" spans="1:54" outlineLevel="2">
      <c r="A104" s="127" t="s">
        <v>27</v>
      </c>
      <c r="C104" s="162" t="s">
        <v>297</v>
      </c>
      <c r="D104" s="169"/>
      <c r="E104" s="213" t="s">
        <v>101</v>
      </c>
      <c r="F104" s="164">
        <f>+WPF_bazowy!F104</f>
        <v>0</v>
      </c>
      <c r="G104" s="164">
        <f>+WPF_bazowy!G104</f>
        <v>0</v>
      </c>
      <c r="H104" s="164">
        <f>+WPF_bazowy!H104</f>
        <v>0</v>
      </c>
      <c r="I104" s="164">
        <f>+WPF_bazowy!I104</f>
        <v>0</v>
      </c>
      <c r="J104" s="164">
        <f>+WPF_bazowy!J104</f>
        <v>0</v>
      </c>
      <c r="K104" s="165">
        <f>+WPF_bazowy!K104</f>
        <v>0</v>
      </c>
      <c r="L104" s="165">
        <f>+WPF_bazowy!L104</f>
        <v>0</v>
      </c>
      <c r="M104" s="250">
        <f>+WPF_bazowy!M104</f>
        <v>0</v>
      </c>
      <c r="N104" s="164">
        <f>+WPF_bazowy!N104</f>
        <v>0</v>
      </c>
      <c r="O104" s="165">
        <f>+WPF_bazowy!O104</f>
        <v>0</v>
      </c>
      <c r="P104" s="165">
        <f>+WPF_bazowy!P104</f>
        <v>0</v>
      </c>
      <c r="Q104" s="165">
        <f>+WPF_bazowy!Q104</f>
        <v>0</v>
      </c>
      <c r="R104" s="165">
        <f>+WPF_bazowy!R104</f>
        <v>0</v>
      </c>
      <c r="S104" s="165">
        <f>+WPF_bazowy!S104</f>
        <v>0</v>
      </c>
      <c r="T104" s="165">
        <f>+WPF_bazowy!T104</f>
        <v>0</v>
      </c>
      <c r="U104" s="165">
        <f>+WPF_bazowy!U104</f>
        <v>0</v>
      </c>
      <c r="V104" s="165">
        <f>+WPF_bazowy!V104</f>
        <v>0</v>
      </c>
      <c r="W104" s="165">
        <f>+WPF_bazowy!W104</f>
        <v>0</v>
      </c>
      <c r="X104" s="165">
        <f>+WPF_bazowy!X104</f>
        <v>0</v>
      </c>
      <c r="Y104" s="165">
        <f>+WPF_bazowy!Y104</f>
        <v>0</v>
      </c>
      <c r="Z104" s="165">
        <f>+WPF_bazowy!Z104</f>
        <v>0</v>
      </c>
      <c r="AA104" s="165">
        <f>+WPF_bazowy!AA104</f>
        <v>0</v>
      </c>
      <c r="AB104" s="165">
        <f>+WPF_bazowy!AB104</f>
        <v>0</v>
      </c>
      <c r="AC104" s="165">
        <f>+WPF_bazowy!AC104</f>
        <v>0</v>
      </c>
      <c r="AD104" s="165">
        <f>+WPF_bazowy!AD104</f>
        <v>0</v>
      </c>
      <c r="AE104" s="165">
        <f>+WPF_bazowy!AE104</f>
        <v>0</v>
      </c>
      <c r="AF104" s="165">
        <f>+WPF_bazowy!AF104</f>
        <v>0</v>
      </c>
      <c r="AG104" s="165">
        <f>+WPF_bazowy!AG104</f>
        <v>0</v>
      </c>
      <c r="AH104" s="165">
        <f>+WPF_bazowy!AH104</f>
        <v>0</v>
      </c>
      <c r="AI104" s="165">
        <f>+WPF_bazowy!AI104</f>
        <v>0</v>
      </c>
      <c r="AJ104" s="165">
        <f>+WPF_bazowy!AJ104</f>
        <v>0</v>
      </c>
      <c r="AK104" s="165">
        <f>+WPF_bazowy!AK104</f>
        <v>0</v>
      </c>
      <c r="AL104" s="165">
        <f>+WPF_bazowy!AL104</f>
        <v>0</v>
      </c>
      <c r="AM104" s="165">
        <f>+WPF_bazowy!AM104</f>
        <v>0</v>
      </c>
      <c r="AN104" s="165">
        <f>+WPF_bazowy!AN104</f>
        <v>0</v>
      </c>
      <c r="AO104" s="165">
        <f>+WPF_bazowy!AO104</f>
        <v>0</v>
      </c>
      <c r="AP104" s="165">
        <f>+WPF_bazowy!AP104</f>
        <v>0</v>
      </c>
      <c r="AQ104" s="165">
        <f>+WPF_bazowy!AQ104</f>
        <v>0</v>
      </c>
      <c r="AR104" s="165">
        <f>+WPF_bazowy!AR104</f>
        <v>0</v>
      </c>
      <c r="AS104" s="165">
        <f>+WPF_bazowy!AS104</f>
        <v>0</v>
      </c>
      <c r="AT104" s="165">
        <f>+WPF_bazowy!AT104</f>
        <v>0</v>
      </c>
      <c r="AU104" s="165">
        <f>+WPF_bazowy!AU104</f>
        <v>0</v>
      </c>
      <c r="AV104" s="165">
        <f>+WPF_bazowy!AV104</f>
        <v>0</v>
      </c>
      <c r="AW104" s="165">
        <f>+WPF_bazowy!AW104</f>
        <v>0</v>
      </c>
      <c r="AX104" s="165">
        <f>+WPF_bazowy!AX104</f>
        <v>0</v>
      </c>
      <c r="AY104" s="165">
        <f>+WPF_bazowy!AY104</f>
        <v>0</v>
      </c>
      <c r="AZ104" s="165">
        <f>+WPF_bazowy!AZ104</f>
        <v>0</v>
      </c>
      <c r="BA104" s="178">
        <f>+WPF_bazowy!BA104</f>
        <v>0</v>
      </c>
    </row>
    <row r="105" spans="1:54" outlineLevel="1">
      <c r="C105" s="162" t="s">
        <v>311</v>
      </c>
      <c r="D105" s="169"/>
      <c r="E105" s="231" t="s">
        <v>350</v>
      </c>
      <c r="F105" s="164">
        <f>+WPF_bazowy!F105</f>
        <v>0</v>
      </c>
      <c r="G105" s="164">
        <f>+WPF_bazowy!G105</f>
        <v>0</v>
      </c>
      <c r="H105" s="164">
        <f>+WPF_bazowy!H105</f>
        <v>0</v>
      </c>
      <c r="I105" s="164">
        <f>+WPF_bazowy!I105</f>
        <v>0</v>
      </c>
      <c r="J105" s="164">
        <f>+WPF_bazowy!J105</f>
        <v>0</v>
      </c>
      <c r="K105" s="165">
        <f>+WPF_bazowy!K105</f>
        <v>0</v>
      </c>
      <c r="L105" s="165">
        <f>+WPF_bazowy!L105</f>
        <v>0</v>
      </c>
      <c r="M105" s="250">
        <f>+WPF_bazowy!M105</f>
        <v>0</v>
      </c>
      <c r="N105" s="164">
        <f>+WPF_bazowy!N105</f>
        <v>0</v>
      </c>
      <c r="O105" s="165">
        <f>+WPF_bazowy!O105</f>
        <v>0</v>
      </c>
      <c r="P105" s="165">
        <f>+WPF_bazowy!P105</f>
        <v>0</v>
      </c>
      <c r="Q105" s="165">
        <f>+WPF_bazowy!Q105</f>
        <v>0</v>
      </c>
      <c r="R105" s="165">
        <f>+WPF_bazowy!R105</f>
        <v>0</v>
      </c>
      <c r="S105" s="165">
        <f>+WPF_bazowy!S105</f>
        <v>0</v>
      </c>
      <c r="T105" s="165">
        <f>+WPF_bazowy!T105</f>
        <v>0</v>
      </c>
      <c r="U105" s="165">
        <f>+WPF_bazowy!U105</f>
        <v>0</v>
      </c>
      <c r="V105" s="165">
        <f>+WPF_bazowy!V105</f>
        <v>0</v>
      </c>
      <c r="W105" s="165">
        <f>+WPF_bazowy!W105</f>
        <v>0</v>
      </c>
      <c r="X105" s="165">
        <f>+WPF_bazowy!X105</f>
        <v>0</v>
      </c>
      <c r="Y105" s="165">
        <f>+WPF_bazowy!Y105</f>
        <v>0</v>
      </c>
      <c r="Z105" s="165">
        <f>+WPF_bazowy!Z105</f>
        <v>0</v>
      </c>
      <c r="AA105" s="165">
        <f>+WPF_bazowy!AA105</f>
        <v>0</v>
      </c>
      <c r="AB105" s="165">
        <f>+WPF_bazowy!AB105</f>
        <v>0</v>
      </c>
      <c r="AC105" s="165">
        <f>+WPF_bazowy!AC105</f>
        <v>0</v>
      </c>
      <c r="AD105" s="165">
        <f>+WPF_bazowy!AD105</f>
        <v>0</v>
      </c>
      <c r="AE105" s="165">
        <f>+WPF_bazowy!AE105</f>
        <v>0</v>
      </c>
      <c r="AF105" s="165">
        <f>+WPF_bazowy!AF105</f>
        <v>0</v>
      </c>
      <c r="AG105" s="165">
        <f>+WPF_bazowy!AG105</f>
        <v>0</v>
      </c>
      <c r="AH105" s="165">
        <f>+WPF_bazowy!AH105</f>
        <v>0</v>
      </c>
      <c r="AI105" s="165">
        <f>+WPF_bazowy!AI105</f>
        <v>0</v>
      </c>
      <c r="AJ105" s="165">
        <f>+WPF_bazowy!AJ105</f>
        <v>0</v>
      </c>
      <c r="AK105" s="165">
        <f>+WPF_bazowy!AK105</f>
        <v>0</v>
      </c>
      <c r="AL105" s="165">
        <f>+WPF_bazowy!AL105</f>
        <v>0</v>
      </c>
      <c r="AM105" s="165">
        <f>+WPF_bazowy!AM105</f>
        <v>0</v>
      </c>
      <c r="AN105" s="165">
        <f>+WPF_bazowy!AN105</f>
        <v>0</v>
      </c>
      <c r="AO105" s="165">
        <f>+WPF_bazowy!AO105</f>
        <v>0</v>
      </c>
      <c r="AP105" s="165">
        <f>+WPF_bazowy!AP105</f>
        <v>0</v>
      </c>
      <c r="AQ105" s="165">
        <f>+WPF_bazowy!AQ105</f>
        <v>0</v>
      </c>
      <c r="AR105" s="165">
        <f>+WPF_bazowy!AR105</f>
        <v>0</v>
      </c>
      <c r="AS105" s="165">
        <f>+WPF_bazowy!AS105</f>
        <v>0</v>
      </c>
      <c r="AT105" s="165">
        <f>+WPF_bazowy!AT105</f>
        <v>0</v>
      </c>
      <c r="AU105" s="165">
        <f>+WPF_bazowy!AU105</f>
        <v>0</v>
      </c>
      <c r="AV105" s="165">
        <f>+WPF_bazowy!AV105</f>
        <v>0</v>
      </c>
      <c r="AW105" s="165">
        <f>+WPF_bazowy!AW105</f>
        <v>0</v>
      </c>
      <c r="AX105" s="165">
        <f>+WPF_bazowy!AX105</f>
        <v>0</v>
      </c>
      <c r="AY105" s="165">
        <f>+WPF_bazowy!AY105</f>
        <v>0</v>
      </c>
      <c r="AZ105" s="165">
        <f>+WPF_bazowy!AZ105</f>
        <v>0</v>
      </c>
      <c r="BA105" s="178">
        <f>+WPF_bazowy!BA105</f>
        <v>0</v>
      </c>
    </row>
    <row r="106" spans="1:54" outlineLevel="1">
      <c r="C106" s="162" t="s">
        <v>312</v>
      </c>
      <c r="D106" s="169"/>
      <c r="E106" s="231" t="s">
        <v>351</v>
      </c>
      <c r="F106" s="164">
        <f>+WPF_bazowy!F106</f>
        <v>0</v>
      </c>
      <c r="G106" s="164">
        <f>+WPF_bazowy!G106</f>
        <v>0</v>
      </c>
      <c r="H106" s="164">
        <f>+WPF_bazowy!H106</f>
        <v>0</v>
      </c>
      <c r="I106" s="164">
        <f>+WPF_bazowy!I106</f>
        <v>0</v>
      </c>
      <c r="J106" s="164">
        <f>+WPF_bazowy!J106</f>
        <v>0</v>
      </c>
      <c r="K106" s="165">
        <f>+WPF_bazowy!K106</f>
        <v>0</v>
      </c>
      <c r="L106" s="165">
        <f>+WPF_bazowy!L106</f>
        <v>0</v>
      </c>
      <c r="M106" s="250">
        <f>+WPF_bazowy!M106</f>
        <v>0</v>
      </c>
      <c r="N106" s="164">
        <f>+WPF_bazowy!N106</f>
        <v>0</v>
      </c>
      <c r="O106" s="165">
        <f>+WPF_bazowy!O106</f>
        <v>0</v>
      </c>
      <c r="P106" s="165">
        <f>+WPF_bazowy!P106</f>
        <v>0</v>
      </c>
      <c r="Q106" s="165">
        <f>+WPF_bazowy!Q106</f>
        <v>0</v>
      </c>
      <c r="R106" s="165">
        <f>+WPF_bazowy!R106</f>
        <v>0</v>
      </c>
      <c r="S106" s="165">
        <f>+WPF_bazowy!S106</f>
        <v>0</v>
      </c>
      <c r="T106" s="165">
        <f>+WPF_bazowy!T106</f>
        <v>0</v>
      </c>
      <c r="U106" s="165">
        <f>+WPF_bazowy!U106</f>
        <v>0</v>
      </c>
      <c r="V106" s="165">
        <f>+WPF_bazowy!V106</f>
        <v>0</v>
      </c>
      <c r="W106" s="165">
        <f>+WPF_bazowy!W106</f>
        <v>0</v>
      </c>
      <c r="X106" s="165">
        <f>+WPF_bazowy!X106</f>
        <v>0</v>
      </c>
      <c r="Y106" s="165">
        <f>+WPF_bazowy!Y106</f>
        <v>0</v>
      </c>
      <c r="Z106" s="165">
        <f>+WPF_bazowy!Z106</f>
        <v>0</v>
      </c>
      <c r="AA106" s="165">
        <f>+WPF_bazowy!AA106</f>
        <v>0</v>
      </c>
      <c r="AB106" s="165">
        <f>+WPF_bazowy!AB106</f>
        <v>0</v>
      </c>
      <c r="AC106" s="165">
        <f>+WPF_bazowy!AC106</f>
        <v>0</v>
      </c>
      <c r="AD106" s="165">
        <f>+WPF_bazowy!AD106</f>
        <v>0</v>
      </c>
      <c r="AE106" s="165">
        <f>+WPF_bazowy!AE106</f>
        <v>0</v>
      </c>
      <c r="AF106" s="165">
        <f>+WPF_bazowy!AF106</f>
        <v>0</v>
      </c>
      <c r="AG106" s="165">
        <f>+WPF_bazowy!AG106</f>
        <v>0</v>
      </c>
      <c r="AH106" s="165">
        <f>+WPF_bazowy!AH106</f>
        <v>0</v>
      </c>
      <c r="AI106" s="165">
        <f>+WPF_bazowy!AI106</f>
        <v>0</v>
      </c>
      <c r="AJ106" s="165">
        <f>+WPF_bazowy!AJ106</f>
        <v>0</v>
      </c>
      <c r="AK106" s="165">
        <f>+WPF_bazowy!AK106</f>
        <v>0</v>
      </c>
      <c r="AL106" s="165">
        <f>+WPF_bazowy!AL106</f>
        <v>0</v>
      </c>
      <c r="AM106" s="165">
        <f>+WPF_bazowy!AM106</f>
        <v>0</v>
      </c>
      <c r="AN106" s="165">
        <f>+WPF_bazowy!AN106</f>
        <v>0</v>
      </c>
      <c r="AO106" s="165">
        <f>+WPF_bazowy!AO106</f>
        <v>0</v>
      </c>
      <c r="AP106" s="165">
        <f>+WPF_bazowy!AP106</f>
        <v>0</v>
      </c>
      <c r="AQ106" s="165">
        <f>+WPF_bazowy!AQ106</f>
        <v>0</v>
      </c>
      <c r="AR106" s="165">
        <f>+WPF_bazowy!AR106</f>
        <v>0</v>
      </c>
      <c r="AS106" s="165">
        <f>+WPF_bazowy!AS106</f>
        <v>0</v>
      </c>
      <c r="AT106" s="165">
        <f>+WPF_bazowy!AT106</f>
        <v>0</v>
      </c>
      <c r="AU106" s="165">
        <f>+WPF_bazowy!AU106</f>
        <v>0</v>
      </c>
      <c r="AV106" s="165">
        <f>+WPF_bazowy!AV106</f>
        <v>0</v>
      </c>
      <c r="AW106" s="165">
        <f>+WPF_bazowy!AW106</f>
        <v>0</v>
      </c>
      <c r="AX106" s="165">
        <f>+WPF_bazowy!AX106</f>
        <v>0</v>
      </c>
      <c r="AY106" s="165">
        <f>+WPF_bazowy!AY106</f>
        <v>0</v>
      </c>
      <c r="AZ106" s="165">
        <f>+WPF_bazowy!AZ106</f>
        <v>0</v>
      </c>
      <c r="BA106" s="178">
        <f>+WPF_bazowy!BA106</f>
        <v>0</v>
      </c>
    </row>
    <row r="107" spans="1:54" ht="40.5" outlineLevel="1">
      <c r="A107" s="238" t="s">
        <v>27</v>
      </c>
      <c r="B107" s="238" t="s">
        <v>27</v>
      </c>
      <c r="C107" s="162" t="s">
        <v>588</v>
      </c>
      <c r="D107" s="169"/>
      <c r="E107" s="234" t="s">
        <v>651</v>
      </c>
      <c r="F107" s="164">
        <f>+WPF_bazowy!F107+Symulacja!F29+Symulacja!F35</f>
        <v>0</v>
      </c>
      <c r="G107" s="164">
        <f>+WPF_bazowy!G107+Symulacja!G29+Symulacja!G35</f>
        <v>0</v>
      </c>
      <c r="H107" s="164">
        <f>+WPF_bazowy!H107+Symulacja!H29+Symulacja!H35</f>
        <v>0</v>
      </c>
      <c r="I107" s="164">
        <f>+WPF_bazowy!I107+Symulacja!I29+Symulacja!I35</f>
        <v>0</v>
      </c>
      <c r="J107" s="164">
        <f>+WPF_bazowy!J107+Symulacja!J29+Symulacja!J35</f>
        <v>0</v>
      </c>
      <c r="K107" s="165">
        <f>+WPF_bazowy!K107+Symulacja!K29+Symulacja!K35</f>
        <v>0</v>
      </c>
      <c r="L107" s="165">
        <f>+WPF_bazowy!L107+Symulacja!L29+Symulacja!L35</f>
        <v>0</v>
      </c>
      <c r="M107" s="250">
        <f>+WPF_bazowy!M107+Symulacja!M29+Symulacja!M35</f>
        <v>0</v>
      </c>
      <c r="N107" s="251">
        <f>+WPF_bazowy!N107+Symulacja!N29+Symulacja!N35</f>
        <v>0</v>
      </c>
      <c r="O107" s="252">
        <f>+WPF_bazowy!O107+Symulacja!O29+Symulacja!O35</f>
        <v>0</v>
      </c>
      <c r="P107" s="252">
        <f>+WPF_bazowy!P107+Symulacja!P29+Symulacja!P35</f>
        <v>0</v>
      </c>
      <c r="Q107" s="252">
        <f>+WPF_bazowy!Q107+Symulacja!Q29+Symulacja!Q35</f>
        <v>0</v>
      </c>
      <c r="R107" s="252">
        <f>+WPF_bazowy!R107+Symulacja!R29+Symulacja!R35</f>
        <v>0</v>
      </c>
      <c r="S107" s="252">
        <f>+WPF_bazowy!S107+Symulacja!S29+Symulacja!S35</f>
        <v>0</v>
      </c>
      <c r="T107" s="252">
        <f>+WPF_bazowy!T107+Symulacja!T29+Symulacja!T35</f>
        <v>0</v>
      </c>
      <c r="U107" s="252">
        <f>+WPF_bazowy!U107+Symulacja!U29+Symulacja!U35</f>
        <v>0</v>
      </c>
      <c r="V107" s="252">
        <f>+WPF_bazowy!V107+Symulacja!V29+Symulacja!V35</f>
        <v>0</v>
      </c>
      <c r="W107" s="252">
        <f>+WPF_bazowy!W107+Symulacja!W29+Symulacja!W35</f>
        <v>0</v>
      </c>
      <c r="X107" s="252">
        <f>+WPF_bazowy!X107+Symulacja!X29+Symulacja!X35</f>
        <v>0</v>
      </c>
      <c r="Y107" s="252">
        <f>+WPF_bazowy!Y107+Symulacja!Y29+Symulacja!Y35</f>
        <v>0</v>
      </c>
      <c r="Z107" s="252">
        <f>+WPF_bazowy!Z107+Symulacja!Z29+Symulacja!Z35</f>
        <v>0</v>
      </c>
      <c r="AA107" s="252">
        <f>+WPF_bazowy!AA107+Symulacja!AA29+Symulacja!AA35</f>
        <v>0</v>
      </c>
      <c r="AB107" s="252">
        <f>+WPF_bazowy!AB107+Symulacja!AB29+Symulacja!AB35</f>
        <v>0</v>
      </c>
      <c r="AC107" s="252">
        <f>+WPF_bazowy!AC107+Symulacja!AC29+Symulacja!AC35</f>
        <v>0</v>
      </c>
      <c r="AD107" s="252">
        <f>+WPF_bazowy!AD107+Symulacja!AD29+Symulacja!AD35</f>
        <v>0</v>
      </c>
      <c r="AE107" s="252">
        <f>+WPF_bazowy!AE107+Symulacja!AE29+Symulacja!AE35</f>
        <v>0</v>
      </c>
      <c r="AF107" s="252">
        <f>+WPF_bazowy!AF107+Symulacja!AF29+Symulacja!AF35</f>
        <v>0</v>
      </c>
      <c r="AG107" s="252">
        <f>+WPF_bazowy!AG107+Symulacja!AG29+Symulacja!AG35</f>
        <v>0</v>
      </c>
      <c r="AH107" s="252">
        <f>+WPF_bazowy!AH107+Symulacja!AH29+Symulacja!AH35</f>
        <v>0</v>
      </c>
      <c r="AI107" s="252">
        <f>+WPF_bazowy!AI107+Symulacja!AI29+Symulacja!AI35</f>
        <v>0</v>
      </c>
      <c r="AJ107" s="252">
        <f>+WPF_bazowy!AJ107+Symulacja!AJ29+Symulacja!AJ35</f>
        <v>0</v>
      </c>
      <c r="AK107" s="252">
        <f>+WPF_bazowy!AK107+Symulacja!AK29+Symulacja!AK35</f>
        <v>0</v>
      </c>
      <c r="AL107" s="252">
        <f>+WPF_bazowy!AL107+Symulacja!AL29+Symulacja!AL35</f>
        <v>0</v>
      </c>
      <c r="AM107" s="252">
        <f>+WPF_bazowy!AM107+Symulacja!AM29+Symulacja!AM35</f>
        <v>0</v>
      </c>
      <c r="AN107" s="252">
        <f>+WPF_bazowy!AN107+Symulacja!AN29+Symulacja!AN35</f>
        <v>0</v>
      </c>
      <c r="AO107" s="252">
        <f>+WPF_bazowy!AO107+Symulacja!AO29+Symulacja!AO35</f>
        <v>0</v>
      </c>
      <c r="AP107" s="252">
        <f>+WPF_bazowy!AP107+Symulacja!AP29+Symulacja!AP35</f>
        <v>0</v>
      </c>
      <c r="AQ107" s="252">
        <f>+WPF_bazowy!AQ107+Symulacja!AQ29+Symulacja!AQ35</f>
        <v>0</v>
      </c>
      <c r="AR107" s="252">
        <f>+WPF_bazowy!AR107+Symulacja!AR29+Symulacja!AR35</f>
        <v>0</v>
      </c>
      <c r="AS107" s="252">
        <f>+WPF_bazowy!AS107+Symulacja!AS29+Symulacja!AS35</f>
        <v>0</v>
      </c>
      <c r="AT107" s="252">
        <f>+WPF_bazowy!AT107+Symulacja!AT29+Symulacja!AT35</f>
        <v>0</v>
      </c>
      <c r="AU107" s="252">
        <f>+WPF_bazowy!AU107+Symulacja!AU29+Symulacja!AU35</f>
        <v>0</v>
      </c>
      <c r="AV107" s="252">
        <f>+WPF_bazowy!AV107+Symulacja!AV29+Symulacja!AV35</f>
        <v>0</v>
      </c>
      <c r="AW107" s="252">
        <f>+WPF_bazowy!AW107+Symulacja!AW29+Symulacja!AW35</f>
        <v>0</v>
      </c>
      <c r="AX107" s="252">
        <f>+WPF_bazowy!AX107+Symulacja!AX29+Symulacja!AX35</f>
        <v>0</v>
      </c>
      <c r="AY107" s="252">
        <f>+WPF_bazowy!AY107+Symulacja!AY29+Symulacja!AY35</f>
        <v>0</v>
      </c>
      <c r="AZ107" s="252">
        <f>+WPF_bazowy!AZ107+Symulacja!AZ29+Symulacja!AZ35</f>
        <v>0</v>
      </c>
      <c r="BA107" s="253">
        <f>+WPF_bazowy!BA107+Symulacja!BA29+Symulacja!BA35</f>
        <v>0</v>
      </c>
    </row>
    <row r="108" spans="1:54" outlineLevel="1">
      <c r="A108" s="238"/>
      <c r="B108" s="238" t="s">
        <v>27</v>
      </c>
      <c r="C108" s="162" t="s">
        <v>589</v>
      </c>
      <c r="D108" s="169"/>
      <c r="E108" s="234" t="s">
        <v>652</v>
      </c>
      <c r="F108" s="164">
        <f>+WPF_bazowy!F108+Symulacja!F15</f>
        <v>0</v>
      </c>
      <c r="G108" s="164">
        <f>+WPF_bazowy!G108+Symulacja!G15</f>
        <v>0</v>
      </c>
      <c r="H108" s="164">
        <f>+WPF_bazowy!H108+Symulacja!H15</f>
        <v>0</v>
      </c>
      <c r="I108" s="164">
        <f>+WPF_bazowy!I108+Symulacja!I15</f>
        <v>0</v>
      </c>
      <c r="J108" s="164">
        <f>+WPF_bazowy!J108+Symulacja!J15</f>
        <v>0</v>
      </c>
      <c r="K108" s="165">
        <f>+WPF_bazowy!K108+Symulacja!K15</f>
        <v>216952.14</v>
      </c>
      <c r="L108" s="165">
        <f>+WPF_bazowy!L108+Symulacja!L15</f>
        <v>0</v>
      </c>
      <c r="M108" s="250">
        <f>+WPF_bazowy!M108+Symulacja!M15</f>
        <v>0</v>
      </c>
      <c r="N108" s="251">
        <f>+WPF_bazowy!N108+Symulacja!N15</f>
        <v>0</v>
      </c>
      <c r="O108" s="252">
        <f>+WPF_bazowy!O108+Symulacja!O15</f>
        <v>0</v>
      </c>
      <c r="P108" s="252">
        <f>+WPF_bazowy!P108+Symulacja!P15</f>
        <v>0</v>
      </c>
      <c r="Q108" s="252">
        <f>+WPF_bazowy!Q108+Symulacja!Q15</f>
        <v>0</v>
      </c>
      <c r="R108" s="252">
        <f>+WPF_bazowy!R108+Symulacja!R15</f>
        <v>0</v>
      </c>
      <c r="S108" s="252">
        <f>+WPF_bazowy!S108+Symulacja!S15</f>
        <v>0</v>
      </c>
      <c r="T108" s="252">
        <f>+WPF_bazowy!T108+Symulacja!T15</f>
        <v>0</v>
      </c>
      <c r="U108" s="252">
        <f>+WPF_bazowy!U108+Symulacja!U15</f>
        <v>0</v>
      </c>
      <c r="V108" s="252">
        <f>+WPF_bazowy!V108+Symulacja!V15</f>
        <v>0</v>
      </c>
      <c r="W108" s="252">
        <f>+WPF_bazowy!W108+Symulacja!W15</f>
        <v>0</v>
      </c>
      <c r="X108" s="252">
        <f>+WPF_bazowy!X108+Symulacja!X15</f>
        <v>0</v>
      </c>
      <c r="Y108" s="252">
        <f>+WPF_bazowy!Y108+Symulacja!Y15</f>
        <v>0</v>
      </c>
      <c r="Z108" s="252">
        <f>+WPF_bazowy!Z108+Symulacja!Z15</f>
        <v>0</v>
      </c>
      <c r="AA108" s="252">
        <f>+WPF_bazowy!AA108+Symulacja!AA15</f>
        <v>0</v>
      </c>
      <c r="AB108" s="252">
        <f>+WPF_bazowy!AB108+Symulacja!AB15</f>
        <v>0</v>
      </c>
      <c r="AC108" s="252">
        <f>+WPF_bazowy!AC108+Symulacja!AC15</f>
        <v>0</v>
      </c>
      <c r="AD108" s="252">
        <f>+WPF_bazowy!AD108+Symulacja!AD15</f>
        <v>0</v>
      </c>
      <c r="AE108" s="252">
        <f>+WPF_bazowy!AE108+Symulacja!AE15</f>
        <v>0</v>
      </c>
      <c r="AF108" s="252">
        <f>+WPF_bazowy!AF108+Symulacja!AF15</f>
        <v>0</v>
      </c>
      <c r="AG108" s="252">
        <f>+WPF_bazowy!AG108+Symulacja!AG15</f>
        <v>0</v>
      </c>
      <c r="AH108" s="252">
        <f>+WPF_bazowy!AH108+Symulacja!AH15</f>
        <v>0</v>
      </c>
      <c r="AI108" s="252">
        <f>+WPF_bazowy!AI108+Symulacja!AI15</f>
        <v>0</v>
      </c>
      <c r="AJ108" s="252">
        <f>+WPF_bazowy!AJ108+Symulacja!AJ15</f>
        <v>0</v>
      </c>
      <c r="AK108" s="252">
        <f>+WPF_bazowy!AK108+Symulacja!AK15</f>
        <v>0</v>
      </c>
      <c r="AL108" s="252">
        <f>+WPF_bazowy!AL108+Symulacja!AL15</f>
        <v>0</v>
      </c>
      <c r="AM108" s="252">
        <f>+WPF_bazowy!AM108+Symulacja!AM15</f>
        <v>0</v>
      </c>
      <c r="AN108" s="252">
        <f>+WPF_bazowy!AN108+Symulacja!AN15</f>
        <v>0</v>
      </c>
      <c r="AO108" s="252">
        <f>+WPF_bazowy!AO108+Symulacja!AO15</f>
        <v>0</v>
      </c>
      <c r="AP108" s="252">
        <f>+WPF_bazowy!AP108+Symulacja!AP15</f>
        <v>0</v>
      </c>
      <c r="AQ108" s="252">
        <f>+WPF_bazowy!AQ108+Symulacja!AQ15</f>
        <v>0</v>
      </c>
      <c r="AR108" s="252">
        <f>+WPF_bazowy!AR108+Symulacja!AR15</f>
        <v>0</v>
      </c>
      <c r="AS108" s="252">
        <f>+WPF_bazowy!AS108+Symulacja!AS15</f>
        <v>0</v>
      </c>
      <c r="AT108" s="252">
        <f>+WPF_bazowy!AT108+Symulacja!AT15</f>
        <v>0</v>
      </c>
      <c r="AU108" s="252">
        <f>+WPF_bazowy!AU108+Symulacja!AU15</f>
        <v>0</v>
      </c>
      <c r="AV108" s="252">
        <f>+WPF_bazowy!AV108+Symulacja!AV15</f>
        <v>0</v>
      </c>
      <c r="AW108" s="252">
        <f>+WPF_bazowy!AW108+Symulacja!AW15</f>
        <v>0</v>
      </c>
      <c r="AX108" s="252">
        <f>+WPF_bazowy!AX108+Symulacja!AX15</f>
        <v>0</v>
      </c>
      <c r="AY108" s="252">
        <f>+WPF_bazowy!AY108+Symulacja!AY15</f>
        <v>0</v>
      </c>
      <c r="AZ108" s="252">
        <f>+WPF_bazowy!AZ108+Symulacja!AZ15</f>
        <v>0</v>
      </c>
      <c r="BA108" s="253">
        <f>+WPF_bazowy!BA108+Symulacja!BA15</f>
        <v>0</v>
      </c>
    </row>
    <row r="109" spans="1:54">
      <c r="C109" s="170">
        <v>11</v>
      </c>
      <c r="D109" s="169"/>
      <c r="E109" s="215" t="s">
        <v>170</v>
      </c>
      <c r="F109" s="180" t="s">
        <v>27</v>
      </c>
      <c r="G109" s="180" t="s">
        <v>27</v>
      </c>
      <c r="H109" s="180" t="s">
        <v>27</v>
      </c>
      <c r="I109" s="180" t="s">
        <v>27</v>
      </c>
      <c r="J109" s="180" t="s">
        <v>27</v>
      </c>
      <c r="K109" s="181" t="s">
        <v>27</v>
      </c>
      <c r="L109" s="181" t="s">
        <v>27</v>
      </c>
      <c r="M109" s="182" t="s">
        <v>27</v>
      </c>
      <c r="N109" s="180" t="s">
        <v>27</v>
      </c>
      <c r="O109" s="181" t="s">
        <v>27</v>
      </c>
      <c r="P109" s="181" t="s">
        <v>27</v>
      </c>
      <c r="Q109" s="181" t="s">
        <v>27</v>
      </c>
      <c r="R109" s="181" t="s">
        <v>27</v>
      </c>
      <c r="S109" s="181" t="s">
        <v>27</v>
      </c>
      <c r="T109" s="181" t="s">
        <v>27</v>
      </c>
      <c r="U109" s="181" t="s">
        <v>27</v>
      </c>
      <c r="V109" s="181" t="s">
        <v>27</v>
      </c>
      <c r="W109" s="181" t="s">
        <v>27</v>
      </c>
      <c r="X109" s="181" t="s">
        <v>27</v>
      </c>
      <c r="Y109" s="181" t="s">
        <v>27</v>
      </c>
      <c r="Z109" s="181" t="s">
        <v>27</v>
      </c>
      <c r="AA109" s="181" t="s">
        <v>27</v>
      </c>
      <c r="AB109" s="181" t="s">
        <v>27</v>
      </c>
      <c r="AC109" s="181" t="s">
        <v>27</v>
      </c>
      <c r="AD109" s="181" t="s">
        <v>27</v>
      </c>
      <c r="AE109" s="181" t="s">
        <v>27</v>
      </c>
      <c r="AF109" s="181" t="s">
        <v>27</v>
      </c>
      <c r="AG109" s="181" t="s">
        <v>27</v>
      </c>
      <c r="AH109" s="181" t="s">
        <v>27</v>
      </c>
      <c r="AI109" s="181" t="s">
        <v>27</v>
      </c>
      <c r="AJ109" s="181" t="s">
        <v>27</v>
      </c>
      <c r="AK109" s="181" t="s">
        <v>27</v>
      </c>
      <c r="AL109" s="181" t="s">
        <v>27</v>
      </c>
      <c r="AM109" s="181" t="s">
        <v>27</v>
      </c>
      <c r="AN109" s="181" t="s">
        <v>27</v>
      </c>
      <c r="AO109" s="181" t="s">
        <v>27</v>
      </c>
      <c r="AP109" s="181" t="s">
        <v>27</v>
      </c>
      <c r="AQ109" s="181" t="s">
        <v>27</v>
      </c>
      <c r="AR109" s="181" t="s">
        <v>27</v>
      </c>
      <c r="AS109" s="181" t="s">
        <v>27</v>
      </c>
      <c r="AT109" s="181" t="s">
        <v>27</v>
      </c>
      <c r="AU109" s="181" t="s">
        <v>27</v>
      </c>
      <c r="AV109" s="181" t="s">
        <v>27</v>
      </c>
      <c r="AW109" s="181" t="s">
        <v>27</v>
      </c>
      <c r="AX109" s="181" t="s">
        <v>27</v>
      </c>
      <c r="AY109" s="181" t="s">
        <v>27</v>
      </c>
      <c r="AZ109" s="181" t="s">
        <v>27</v>
      </c>
      <c r="BA109" s="182" t="s">
        <v>27</v>
      </c>
    </row>
    <row r="110" spans="1:54" outlineLevel="1">
      <c r="C110" s="162" t="s">
        <v>71</v>
      </c>
      <c r="D110" s="169"/>
      <c r="E110" s="231" t="s">
        <v>352</v>
      </c>
      <c r="F110" s="164">
        <f>+WPF_bazowy!F110</f>
        <v>0</v>
      </c>
      <c r="G110" s="164">
        <f>+WPF_bazowy!G110</f>
        <v>0</v>
      </c>
      <c r="H110" s="164">
        <f>+WPF_bazowy!H110</f>
        <v>0</v>
      </c>
      <c r="I110" s="164">
        <f>+WPF_bazowy!I110</f>
        <v>0</v>
      </c>
      <c r="J110" s="164">
        <f>+WPF_bazowy!J110</f>
        <v>0</v>
      </c>
      <c r="K110" s="165">
        <f>+WPF_bazowy!K110</f>
        <v>0</v>
      </c>
      <c r="L110" s="165">
        <f>+WPF_bazowy!L110</f>
        <v>0</v>
      </c>
      <c r="M110" s="250">
        <f>+WPF_bazowy!M110</f>
        <v>0</v>
      </c>
      <c r="N110" s="164">
        <f>+WPF_bazowy!N110</f>
        <v>0</v>
      </c>
      <c r="O110" s="165">
        <f>+WPF_bazowy!O110</f>
        <v>0</v>
      </c>
      <c r="P110" s="165">
        <f>+WPF_bazowy!P110</f>
        <v>0</v>
      </c>
      <c r="Q110" s="165">
        <f>+WPF_bazowy!Q110</f>
        <v>0</v>
      </c>
      <c r="R110" s="165">
        <f>+IF(R$9&lt;=Ostatni_rok_analizy,WPF_bazowy!R110,0)</f>
        <v>0</v>
      </c>
      <c r="S110" s="165">
        <f>+IF(S$9&lt;=Ostatni_rok_analizy,WPF_bazowy!S110,0)</f>
        <v>0</v>
      </c>
      <c r="T110" s="165">
        <f>+IF(T$9&lt;=Ostatni_rok_analizy,WPF_bazowy!T110,0)</f>
        <v>0</v>
      </c>
      <c r="U110" s="165">
        <f>+IF(U$9&lt;=Ostatni_rok_analizy,WPF_bazowy!U110,0)</f>
        <v>0</v>
      </c>
      <c r="V110" s="165">
        <f>+IF(V$9&lt;=Ostatni_rok_analizy,WPF_bazowy!V110,0)</f>
        <v>0</v>
      </c>
      <c r="W110" s="165">
        <f>+IF(W$9&lt;=Ostatni_rok_analizy,WPF_bazowy!W110,0)</f>
        <v>0</v>
      </c>
      <c r="X110" s="165">
        <f>+IF(X$9&lt;=Ostatni_rok_analizy,WPF_bazowy!X110,0)</f>
        <v>0</v>
      </c>
      <c r="Y110" s="165">
        <f>+IF(Y$9&lt;=Ostatni_rok_analizy,WPF_bazowy!Y110,0)</f>
        <v>0</v>
      </c>
      <c r="Z110" s="165">
        <f>+IF(Z$9&lt;=Ostatni_rok_analizy,WPF_bazowy!Z110,0)</f>
        <v>0</v>
      </c>
      <c r="AA110" s="165">
        <f>+IF(AA$9&lt;=Ostatni_rok_analizy,WPF_bazowy!AA110,0)</f>
        <v>0</v>
      </c>
      <c r="AB110" s="165">
        <f>+IF(AB$9&lt;=Ostatni_rok_analizy,WPF_bazowy!AB110,0)</f>
        <v>0</v>
      </c>
      <c r="AC110" s="165">
        <f>+IF(AC$9&lt;=Ostatni_rok_analizy,WPF_bazowy!AC110,0)</f>
        <v>0</v>
      </c>
      <c r="AD110" s="165">
        <f>+IF(AD$9&lt;=Ostatni_rok_analizy,WPF_bazowy!AD110,0)</f>
        <v>0</v>
      </c>
      <c r="AE110" s="165">
        <f>+IF(AE$9&lt;=Ostatni_rok_analizy,WPF_bazowy!AE110,0)</f>
        <v>0</v>
      </c>
      <c r="AF110" s="165">
        <f>+IF(AF$9&lt;=Ostatni_rok_analizy,WPF_bazowy!AF110,0)</f>
        <v>0</v>
      </c>
      <c r="AG110" s="165">
        <f>+IF(AG$9&lt;=Ostatni_rok_analizy,WPF_bazowy!AG110,0)</f>
        <v>0</v>
      </c>
      <c r="AH110" s="165">
        <f>+IF(AH$9&lt;=Ostatni_rok_analizy,WPF_bazowy!AH110,0)</f>
        <v>0</v>
      </c>
      <c r="AI110" s="165">
        <f>+IF(AI$9&lt;=Ostatni_rok_analizy,WPF_bazowy!AI110,0)</f>
        <v>0</v>
      </c>
      <c r="AJ110" s="165">
        <f>+IF(AJ$9&lt;=Ostatni_rok_analizy,WPF_bazowy!AJ110,0)</f>
        <v>0</v>
      </c>
      <c r="AK110" s="165">
        <f>+IF(AK$9&lt;=Ostatni_rok_analizy,WPF_bazowy!AK110,0)</f>
        <v>0</v>
      </c>
      <c r="AL110" s="165">
        <f>+IF(AL$9&lt;=Ostatni_rok_analizy,WPF_bazowy!AL110,0)</f>
        <v>0</v>
      </c>
      <c r="AM110" s="165">
        <f>+IF(AM$9&lt;=Ostatni_rok_analizy,WPF_bazowy!AM110,0)</f>
        <v>0</v>
      </c>
      <c r="AN110" s="165">
        <f>+IF(AN$9&lt;=Ostatni_rok_analizy,WPF_bazowy!AN110,0)</f>
        <v>0</v>
      </c>
      <c r="AO110" s="165">
        <f>+IF(AO$9&lt;=Ostatni_rok_analizy,WPF_bazowy!AO110,0)</f>
        <v>0</v>
      </c>
      <c r="AP110" s="165">
        <f>+IF(AP$9&lt;=Ostatni_rok_analizy,WPF_bazowy!AP110,0)</f>
        <v>0</v>
      </c>
      <c r="AQ110" s="165">
        <f>+IF(AQ$9&lt;=Ostatni_rok_analizy,WPF_bazowy!AQ110,0)</f>
        <v>0</v>
      </c>
      <c r="AR110" s="165">
        <f>+IF(AR$9&lt;=Ostatni_rok_analizy,WPF_bazowy!AR110,0)</f>
        <v>0</v>
      </c>
      <c r="AS110" s="165">
        <f>+IF(AS$9&lt;=Ostatni_rok_analizy,WPF_bazowy!AS110,0)</f>
        <v>0</v>
      </c>
      <c r="AT110" s="165">
        <f>+IF(AT$9&lt;=Ostatni_rok_analizy,WPF_bazowy!AT110,0)</f>
        <v>0</v>
      </c>
      <c r="AU110" s="165">
        <f>+IF(AU$9&lt;=Ostatni_rok_analizy,WPF_bazowy!AU110,0)</f>
        <v>0</v>
      </c>
      <c r="AV110" s="165">
        <f>+IF(AV$9&lt;=Ostatni_rok_analizy,WPF_bazowy!AV110,0)</f>
        <v>0</v>
      </c>
      <c r="AW110" s="165">
        <f>+IF(AW$9&lt;=Ostatni_rok_analizy,WPF_bazowy!AW110,0)</f>
        <v>0</v>
      </c>
      <c r="AX110" s="165">
        <f>+IF(AX$9&lt;=Ostatni_rok_analizy,WPF_bazowy!AX110,0)</f>
        <v>0</v>
      </c>
      <c r="AY110" s="165">
        <f>+IF(AY$9&lt;=Ostatni_rok_analizy,WPF_bazowy!AY110,0)</f>
        <v>0</v>
      </c>
      <c r="AZ110" s="165">
        <f>+IF(AZ$9&lt;=Ostatni_rok_analizy,WPF_bazowy!AZ110,0)</f>
        <v>0</v>
      </c>
      <c r="BA110" s="178">
        <f>+IF(BA$9&lt;=Ostatni_rok_analizy,WPF_bazowy!BA110,0)</f>
        <v>0</v>
      </c>
    </row>
    <row r="111" spans="1:54" ht="15" outlineLevel="2">
      <c r="A111" s="127" t="s">
        <v>27</v>
      </c>
      <c r="C111" s="162" t="s">
        <v>298</v>
      </c>
      <c r="D111" s="169"/>
      <c r="E111" s="213" t="s">
        <v>175</v>
      </c>
      <c r="F111" s="164">
        <f>+WPF_bazowy!F111</f>
        <v>0</v>
      </c>
      <c r="G111" s="164">
        <f>+WPF_bazowy!G111</f>
        <v>0</v>
      </c>
      <c r="H111" s="164">
        <f>+WPF_bazowy!H111</f>
        <v>0</v>
      </c>
      <c r="I111" s="164">
        <f>+WPF_bazowy!I111</f>
        <v>0</v>
      </c>
      <c r="J111" s="164">
        <f>+WPF_bazowy!J111</f>
        <v>0</v>
      </c>
      <c r="K111" s="165">
        <f>+WPF_bazowy!K111</f>
        <v>0</v>
      </c>
      <c r="L111" s="165">
        <f>+WPF_bazowy!L111</f>
        <v>0</v>
      </c>
      <c r="M111" s="250">
        <f>+WPF_bazowy!M111</f>
        <v>0</v>
      </c>
      <c r="N111" s="164">
        <f>+WPF_bazowy!N111</f>
        <v>0</v>
      </c>
      <c r="O111" s="165">
        <f>+WPF_bazowy!O111</f>
        <v>0</v>
      </c>
      <c r="P111" s="165">
        <f>+WPF_bazowy!P111</f>
        <v>0</v>
      </c>
      <c r="Q111" s="165">
        <f>+WPF_bazowy!Q111</f>
        <v>0</v>
      </c>
      <c r="R111" s="165">
        <f>+IF(R$9&lt;=Ostatni_rok_analizy,WPF_bazowy!R111,0)</f>
        <v>0</v>
      </c>
      <c r="S111" s="165">
        <f>+IF(S$9&lt;=Ostatni_rok_analizy,WPF_bazowy!S111,0)</f>
        <v>0</v>
      </c>
      <c r="T111" s="165">
        <f>+IF(T$9&lt;=Ostatni_rok_analizy,WPF_bazowy!T111,0)</f>
        <v>0</v>
      </c>
      <c r="U111" s="165">
        <f>+IF(U$9&lt;=Ostatni_rok_analizy,WPF_bazowy!U111,0)</f>
        <v>0</v>
      </c>
      <c r="V111" s="165">
        <f>+IF(V$9&lt;=Ostatni_rok_analizy,WPF_bazowy!V111,0)</f>
        <v>0</v>
      </c>
      <c r="W111" s="165">
        <f>+IF(W$9&lt;=Ostatni_rok_analizy,WPF_bazowy!W111,0)</f>
        <v>0</v>
      </c>
      <c r="X111" s="165">
        <f>+IF(X$9&lt;=Ostatni_rok_analizy,WPF_bazowy!X111,0)</f>
        <v>0</v>
      </c>
      <c r="Y111" s="165">
        <f>+IF(Y$9&lt;=Ostatni_rok_analizy,WPF_bazowy!Y111,0)</f>
        <v>0</v>
      </c>
      <c r="Z111" s="165">
        <f>+IF(Z$9&lt;=Ostatni_rok_analizy,WPF_bazowy!Z111,0)</f>
        <v>0</v>
      </c>
      <c r="AA111" s="165">
        <f>+IF(AA$9&lt;=Ostatni_rok_analizy,WPF_bazowy!AA111,0)</f>
        <v>0</v>
      </c>
      <c r="AB111" s="165">
        <f>+IF(AB$9&lt;=Ostatni_rok_analizy,WPF_bazowy!AB111,0)</f>
        <v>0</v>
      </c>
      <c r="AC111" s="165">
        <f>+IF(AC$9&lt;=Ostatni_rok_analizy,WPF_bazowy!AC111,0)</f>
        <v>0</v>
      </c>
      <c r="AD111" s="165">
        <f>+IF(AD$9&lt;=Ostatni_rok_analizy,WPF_bazowy!AD111,0)</f>
        <v>0</v>
      </c>
      <c r="AE111" s="165">
        <f>+IF(AE$9&lt;=Ostatni_rok_analizy,WPF_bazowy!AE111,0)</f>
        <v>0</v>
      </c>
      <c r="AF111" s="165">
        <f>+IF(AF$9&lt;=Ostatni_rok_analizy,WPF_bazowy!AF111,0)</f>
        <v>0</v>
      </c>
      <c r="AG111" s="165">
        <f>+IF(AG$9&lt;=Ostatni_rok_analizy,WPF_bazowy!AG111,0)</f>
        <v>0</v>
      </c>
      <c r="AH111" s="165">
        <f>+IF(AH$9&lt;=Ostatni_rok_analizy,WPF_bazowy!AH111,0)</f>
        <v>0</v>
      </c>
      <c r="AI111" s="165">
        <f>+IF(AI$9&lt;=Ostatni_rok_analizy,WPF_bazowy!AI111,0)</f>
        <v>0</v>
      </c>
      <c r="AJ111" s="165">
        <f>+IF(AJ$9&lt;=Ostatni_rok_analizy,WPF_bazowy!AJ111,0)</f>
        <v>0</v>
      </c>
      <c r="AK111" s="165">
        <f>+IF(AK$9&lt;=Ostatni_rok_analizy,WPF_bazowy!AK111,0)</f>
        <v>0</v>
      </c>
      <c r="AL111" s="165">
        <f>+IF(AL$9&lt;=Ostatni_rok_analizy,WPF_bazowy!AL111,0)</f>
        <v>0</v>
      </c>
      <c r="AM111" s="165">
        <f>+IF(AM$9&lt;=Ostatni_rok_analizy,WPF_bazowy!AM111,0)</f>
        <v>0</v>
      </c>
      <c r="AN111" s="165">
        <f>+IF(AN$9&lt;=Ostatni_rok_analizy,WPF_bazowy!AN111,0)</f>
        <v>0</v>
      </c>
      <c r="AO111" s="165">
        <f>+IF(AO$9&lt;=Ostatni_rok_analizy,WPF_bazowy!AO111,0)</f>
        <v>0</v>
      </c>
      <c r="AP111" s="165">
        <f>+IF(AP$9&lt;=Ostatni_rok_analizy,WPF_bazowy!AP111,0)</f>
        <v>0</v>
      </c>
      <c r="AQ111" s="165">
        <f>+IF(AQ$9&lt;=Ostatni_rok_analizy,WPF_bazowy!AQ111,0)</f>
        <v>0</v>
      </c>
      <c r="AR111" s="165">
        <f>+IF(AR$9&lt;=Ostatni_rok_analizy,WPF_bazowy!AR111,0)</f>
        <v>0</v>
      </c>
      <c r="AS111" s="165">
        <f>+IF(AS$9&lt;=Ostatni_rok_analizy,WPF_bazowy!AS111,0)</f>
        <v>0</v>
      </c>
      <c r="AT111" s="165">
        <f>+IF(AT$9&lt;=Ostatni_rok_analizy,WPF_bazowy!AT111,0)</f>
        <v>0</v>
      </c>
      <c r="AU111" s="165">
        <f>+IF(AU$9&lt;=Ostatni_rok_analizy,WPF_bazowy!AU111,0)</f>
        <v>0</v>
      </c>
      <c r="AV111" s="165">
        <f>+IF(AV$9&lt;=Ostatni_rok_analizy,WPF_bazowy!AV111,0)</f>
        <v>0</v>
      </c>
      <c r="AW111" s="165">
        <f>+IF(AW$9&lt;=Ostatni_rok_analizy,WPF_bazowy!AW111,0)</f>
        <v>0</v>
      </c>
      <c r="AX111" s="165">
        <f>+IF(AX$9&lt;=Ostatni_rok_analizy,WPF_bazowy!AX111,0)</f>
        <v>0</v>
      </c>
      <c r="AY111" s="165">
        <f>+IF(AY$9&lt;=Ostatni_rok_analizy,WPF_bazowy!AY111,0)</f>
        <v>0</v>
      </c>
      <c r="AZ111" s="165">
        <f>+IF(AZ$9&lt;=Ostatni_rok_analizy,WPF_bazowy!AZ111,0)</f>
        <v>0</v>
      </c>
      <c r="BA111" s="178">
        <f>+IF(BA$9&lt;=Ostatni_rok_analizy,WPF_bazowy!BA111,0)</f>
        <v>0</v>
      </c>
      <c r="BB111" s="153"/>
    </row>
    <row r="112" spans="1:54" outlineLevel="1">
      <c r="A112" s="127" t="s">
        <v>27</v>
      </c>
      <c r="C112" s="162" t="s">
        <v>72</v>
      </c>
      <c r="D112" s="169"/>
      <c r="E112" s="231" t="s">
        <v>353</v>
      </c>
      <c r="F112" s="164">
        <f>+WPF_bazowy!F112</f>
        <v>0</v>
      </c>
      <c r="G112" s="164">
        <f>+WPF_bazowy!G112</f>
        <v>0</v>
      </c>
      <c r="H112" s="164">
        <f>+WPF_bazowy!H112</f>
        <v>0</v>
      </c>
      <c r="I112" s="164">
        <f>+WPF_bazowy!I112</f>
        <v>0</v>
      </c>
      <c r="J112" s="164">
        <f>+WPF_bazowy!J112</f>
        <v>0</v>
      </c>
      <c r="K112" s="165">
        <f>+WPF_bazowy!K112</f>
        <v>0</v>
      </c>
      <c r="L112" s="165">
        <f>+WPF_bazowy!L112</f>
        <v>0</v>
      </c>
      <c r="M112" s="250">
        <f>+WPF_bazowy!M112</f>
        <v>0</v>
      </c>
      <c r="N112" s="164">
        <f>+WPF_bazowy!N112</f>
        <v>0</v>
      </c>
      <c r="O112" s="165">
        <f>+WPF_bazowy!O112</f>
        <v>0</v>
      </c>
      <c r="P112" s="165">
        <f>+WPF_bazowy!P112</f>
        <v>0</v>
      </c>
      <c r="Q112" s="165">
        <f>+WPF_bazowy!Q112</f>
        <v>0</v>
      </c>
      <c r="R112" s="165">
        <f>+IF(R$9&lt;=Ostatni_rok_analizy,WPF_bazowy!R112,0)</f>
        <v>0</v>
      </c>
      <c r="S112" s="165">
        <f>+IF(S$9&lt;=Ostatni_rok_analizy,WPF_bazowy!S112,0)</f>
        <v>0</v>
      </c>
      <c r="T112" s="165">
        <f>+IF(T$9&lt;=Ostatni_rok_analizy,WPF_bazowy!T112,0)</f>
        <v>0</v>
      </c>
      <c r="U112" s="165">
        <f>+IF(U$9&lt;=Ostatni_rok_analizy,WPF_bazowy!U112,0)</f>
        <v>0</v>
      </c>
      <c r="V112" s="165">
        <f>+IF(V$9&lt;=Ostatni_rok_analizy,WPF_bazowy!V112,0)</f>
        <v>0</v>
      </c>
      <c r="W112" s="165">
        <f>+IF(W$9&lt;=Ostatni_rok_analizy,WPF_bazowy!W112,0)</f>
        <v>0</v>
      </c>
      <c r="X112" s="165">
        <f>+IF(X$9&lt;=Ostatni_rok_analizy,WPF_bazowy!X112,0)</f>
        <v>0</v>
      </c>
      <c r="Y112" s="165">
        <f>+IF(Y$9&lt;=Ostatni_rok_analizy,WPF_bazowy!Y112,0)</f>
        <v>0</v>
      </c>
      <c r="Z112" s="165">
        <f>+IF(Z$9&lt;=Ostatni_rok_analizy,WPF_bazowy!Z112,0)</f>
        <v>0</v>
      </c>
      <c r="AA112" s="165">
        <f>+IF(AA$9&lt;=Ostatni_rok_analizy,WPF_bazowy!AA112,0)</f>
        <v>0</v>
      </c>
      <c r="AB112" s="165">
        <f>+IF(AB$9&lt;=Ostatni_rok_analizy,WPF_bazowy!AB112,0)</f>
        <v>0</v>
      </c>
      <c r="AC112" s="165">
        <f>+IF(AC$9&lt;=Ostatni_rok_analizy,WPF_bazowy!AC112,0)</f>
        <v>0</v>
      </c>
      <c r="AD112" s="165">
        <f>+IF(AD$9&lt;=Ostatni_rok_analizy,WPF_bazowy!AD112,0)</f>
        <v>0</v>
      </c>
      <c r="AE112" s="165">
        <f>+IF(AE$9&lt;=Ostatni_rok_analizy,WPF_bazowy!AE112,0)</f>
        <v>0</v>
      </c>
      <c r="AF112" s="165">
        <f>+IF(AF$9&lt;=Ostatni_rok_analizy,WPF_bazowy!AF112,0)</f>
        <v>0</v>
      </c>
      <c r="AG112" s="165">
        <f>+IF(AG$9&lt;=Ostatni_rok_analizy,WPF_bazowy!AG112,0)</f>
        <v>0</v>
      </c>
      <c r="AH112" s="165">
        <f>+IF(AH$9&lt;=Ostatni_rok_analizy,WPF_bazowy!AH112,0)</f>
        <v>0</v>
      </c>
      <c r="AI112" s="165">
        <f>+IF(AI$9&lt;=Ostatni_rok_analizy,WPF_bazowy!AI112,0)</f>
        <v>0</v>
      </c>
      <c r="AJ112" s="165">
        <f>+IF(AJ$9&lt;=Ostatni_rok_analizy,WPF_bazowy!AJ112,0)</f>
        <v>0</v>
      </c>
      <c r="AK112" s="165">
        <f>+IF(AK$9&lt;=Ostatni_rok_analizy,WPF_bazowy!AK112,0)</f>
        <v>0</v>
      </c>
      <c r="AL112" s="165">
        <f>+IF(AL$9&lt;=Ostatni_rok_analizy,WPF_bazowy!AL112,0)</f>
        <v>0</v>
      </c>
      <c r="AM112" s="165">
        <f>+IF(AM$9&lt;=Ostatni_rok_analizy,WPF_bazowy!AM112,0)</f>
        <v>0</v>
      </c>
      <c r="AN112" s="165">
        <f>+IF(AN$9&lt;=Ostatni_rok_analizy,WPF_bazowy!AN112,0)</f>
        <v>0</v>
      </c>
      <c r="AO112" s="165">
        <f>+IF(AO$9&lt;=Ostatni_rok_analizy,WPF_bazowy!AO112,0)</f>
        <v>0</v>
      </c>
      <c r="AP112" s="165">
        <f>+IF(AP$9&lt;=Ostatni_rok_analizy,WPF_bazowy!AP112,0)</f>
        <v>0</v>
      </c>
      <c r="AQ112" s="165">
        <f>+IF(AQ$9&lt;=Ostatni_rok_analizy,WPF_bazowy!AQ112,0)</f>
        <v>0</v>
      </c>
      <c r="AR112" s="165">
        <f>+IF(AR$9&lt;=Ostatni_rok_analizy,WPF_bazowy!AR112,0)</f>
        <v>0</v>
      </c>
      <c r="AS112" s="165">
        <f>+IF(AS$9&lt;=Ostatni_rok_analizy,WPF_bazowy!AS112,0)</f>
        <v>0</v>
      </c>
      <c r="AT112" s="165">
        <f>+IF(AT$9&lt;=Ostatni_rok_analizy,WPF_bazowy!AT112,0)</f>
        <v>0</v>
      </c>
      <c r="AU112" s="165">
        <f>+IF(AU$9&lt;=Ostatni_rok_analizy,WPF_bazowy!AU112,0)</f>
        <v>0</v>
      </c>
      <c r="AV112" s="165">
        <f>+IF(AV$9&lt;=Ostatni_rok_analizy,WPF_bazowy!AV112,0)</f>
        <v>0</v>
      </c>
      <c r="AW112" s="165">
        <f>+IF(AW$9&lt;=Ostatni_rok_analizy,WPF_bazowy!AW112,0)</f>
        <v>0</v>
      </c>
      <c r="AX112" s="165">
        <f>+IF(AX$9&lt;=Ostatni_rok_analizy,WPF_bazowy!AX112,0)</f>
        <v>0</v>
      </c>
      <c r="AY112" s="165">
        <f>+IF(AY$9&lt;=Ostatni_rok_analizy,WPF_bazowy!AY112,0)</f>
        <v>0</v>
      </c>
      <c r="AZ112" s="165">
        <f>+IF(AZ$9&lt;=Ostatni_rok_analizy,WPF_bazowy!AZ112,0)</f>
        <v>0</v>
      </c>
      <c r="BA112" s="178">
        <f>+IF(BA$9&lt;=Ostatni_rok_analizy,WPF_bazowy!BA112,0)</f>
        <v>0</v>
      </c>
    </row>
    <row r="113" spans="1:53">
      <c r="C113" s="170">
        <v>12</v>
      </c>
      <c r="D113" s="169"/>
      <c r="E113" s="215" t="s">
        <v>264</v>
      </c>
      <c r="F113" s="180" t="s">
        <v>27</v>
      </c>
      <c r="G113" s="180" t="s">
        <v>27</v>
      </c>
      <c r="H113" s="180" t="s">
        <v>27</v>
      </c>
      <c r="I113" s="180" t="s">
        <v>27</v>
      </c>
      <c r="J113" s="180" t="s">
        <v>27</v>
      </c>
      <c r="K113" s="181" t="s">
        <v>27</v>
      </c>
      <c r="L113" s="181" t="s">
        <v>27</v>
      </c>
      <c r="M113" s="182" t="s">
        <v>27</v>
      </c>
      <c r="N113" s="180" t="s">
        <v>27</v>
      </c>
      <c r="O113" s="181" t="s">
        <v>27</v>
      </c>
      <c r="P113" s="181" t="s">
        <v>27</v>
      </c>
      <c r="Q113" s="181" t="s">
        <v>27</v>
      </c>
      <c r="R113" s="181" t="s">
        <v>27</v>
      </c>
      <c r="S113" s="181" t="s">
        <v>27</v>
      </c>
      <c r="T113" s="181" t="s">
        <v>27</v>
      </c>
      <c r="U113" s="181" t="s">
        <v>27</v>
      </c>
      <c r="V113" s="181" t="s">
        <v>27</v>
      </c>
      <c r="W113" s="181" t="s">
        <v>27</v>
      </c>
      <c r="X113" s="181" t="s">
        <v>27</v>
      </c>
      <c r="Y113" s="181" t="s">
        <v>27</v>
      </c>
      <c r="Z113" s="181" t="s">
        <v>27</v>
      </c>
      <c r="AA113" s="181" t="s">
        <v>27</v>
      </c>
      <c r="AB113" s="181" t="s">
        <v>27</v>
      </c>
      <c r="AC113" s="181" t="s">
        <v>27</v>
      </c>
      <c r="AD113" s="181" t="s">
        <v>27</v>
      </c>
      <c r="AE113" s="181" t="s">
        <v>27</v>
      </c>
      <c r="AF113" s="181" t="s">
        <v>27</v>
      </c>
      <c r="AG113" s="181" t="s">
        <v>27</v>
      </c>
      <c r="AH113" s="181" t="s">
        <v>27</v>
      </c>
      <c r="AI113" s="181" t="s">
        <v>27</v>
      </c>
      <c r="AJ113" s="181" t="s">
        <v>27</v>
      </c>
      <c r="AK113" s="181" t="s">
        <v>27</v>
      </c>
      <c r="AL113" s="181" t="s">
        <v>27</v>
      </c>
      <c r="AM113" s="181" t="s">
        <v>27</v>
      </c>
      <c r="AN113" s="181" t="s">
        <v>27</v>
      </c>
      <c r="AO113" s="181" t="s">
        <v>27</v>
      </c>
      <c r="AP113" s="181" t="s">
        <v>27</v>
      </c>
      <c r="AQ113" s="181" t="s">
        <v>27</v>
      </c>
      <c r="AR113" s="181" t="s">
        <v>27</v>
      </c>
      <c r="AS113" s="181" t="s">
        <v>27</v>
      </c>
      <c r="AT113" s="181" t="s">
        <v>27</v>
      </c>
      <c r="AU113" s="181" t="s">
        <v>27</v>
      </c>
      <c r="AV113" s="181" t="s">
        <v>27</v>
      </c>
      <c r="AW113" s="181" t="s">
        <v>27</v>
      </c>
      <c r="AX113" s="181" t="s">
        <v>27</v>
      </c>
      <c r="AY113" s="181" t="s">
        <v>27</v>
      </c>
      <c r="AZ113" s="181" t="s">
        <v>27</v>
      </c>
      <c r="BA113" s="182" t="s">
        <v>27</v>
      </c>
    </row>
    <row r="114" spans="1:53" outlineLevel="1">
      <c r="C114" s="162" t="s">
        <v>73</v>
      </c>
      <c r="D114" s="169"/>
      <c r="E114" s="231" t="s">
        <v>354</v>
      </c>
      <c r="F114" s="186" t="str">
        <f>+IF(F61&lt;0,ROUND(F61,2),"nd")</f>
        <v>nd</v>
      </c>
      <c r="G114" s="186" t="str">
        <f>+IF(G61&lt;0,ROUND(G61,2),"nd")</f>
        <v>nd</v>
      </c>
      <c r="H114" s="186" t="str">
        <f>+IF(H61&lt;0,ROUND(H61,2),"nd")</f>
        <v>nd</v>
      </c>
      <c r="I114" s="186" t="str">
        <f>+IF(I61&lt;0,ROUND(I61,2),"nd")</f>
        <v>nd</v>
      </c>
      <c r="J114" s="186" t="str">
        <f t="shared" ref="J114:Q114" si="38">+IF(J61&lt;0,ROUND(J61,2),"nd")</f>
        <v>nd</v>
      </c>
      <c r="K114" s="187" t="str">
        <f t="shared" si="38"/>
        <v>nd</v>
      </c>
      <c r="L114" s="187" t="str">
        <f t="shared" si="38"/>
        <v>nd</v>
      </c>
      <c r="M114" s="188" t="str">
        <f t="shared" si="38"/>
        <v>nd</v>
      </c>
      <c r="N114" s="186" t="str">
        <f t="shared" si="38"/>
        <v>nd</v>
      </c>
      <c r="O114" s="187" t="str">
        <f t="shared" si="38"/>
        <v>nd</v>
      </c>
      <c r="P114" s="187" t="str">
        <f t="shared" si="38"/>
        <v>nd</v>
      </c>
      <c r="Q114" s="187" t="str">
        <f t="shared" si="38"/>
        <v>nd</v>
      </c>
      <c r="R114" s="187" t="str">
        <f t="shared" ref="R114:X114" si="39">+IF(R9&lt;=Ostatni_rok_analizy,IF(R61&lt;0,ROUND(R61,2),"nd"),0)</f>
        <v>nd</v>
      </c>
      <c r="S114" s="187" t="str">
        <f t="shared" si="39"/>
        <v>nd</v>
      </c>
      <c r="T114" s="187" t="str">
        <f t="shared" si="39"/>
        <v>nd</v>
      </c>
      <c r="U114" s="187" t="str">
        <f t="shared" si="39"/>
        <v>nd</v>
      </c>
      <c r="V114" s="187" t="str">
        <f t="shared" si="39"/>
        <v>nd</v>
      </c>
      <c r="W114" s="187" t="str">
        <f t="shared" si="39"/>
        <v>nd</v>
      </c>
      <c r="X114" s="187" t="str">
        <f t="shared" si="39"/>
        <v>nd</v>
      </c>
      <c r="Y114" s="187" t="str">
        <f t="shared" ref="Y114:BA114" si="40">+IF(Y9&lt;=Ostatni_rok_analizy,IF(Y61&lt;0,ROUND(Y61,2),"nd"),0)</f>
        <v>nd</v>
      </c>
      <c r="Z114" s="187">
        <f t="shared" si="40"/>
        <v>0</v>
      </c>
      <c r="AA114" s="187">
        <f t="shared" si="40"/>
        <v>0</v>
      </c>
      <c r="AB114" s="187">
        <f t="shared" si="40"/>
        <v>0</v>
      </c>
      <c r="AC114" s="187">
        <f t="shared" si="40"/>
        <v>0</v>
      </c>
      <c r="AD114" s="187">
        <f t="shared" si="40"/>
        <v>0</v>
      </c>
      <c r="AE114" s="187">
        <f t="shared" si="40"/>
        <v>0</v>
      </c>
      <c r="AF114" s="187">
        <f t="shared" si="40"/>
        <v>0</v>
      </c>
      <c r="AG114" s="187">
        <f t="shared" si="40"/>
        <v>0</v>
      </c>
      <c r="AH114" s="187">
        <f t="shared" si="40"/>
        <v>0</v>
      </c>
      <c r="AI114" s="187">
        <f t="shared" si="40"/>
        <v>0</v>
      </c>
      <c r="AJ114" s="187">
        <f t="shared" si="40"/>
        <v>0</v>
      </c>
      <c r="AK114" s="187">
        <f t="shared" si="40"/>
        <v>0</v>
      </c>
      <c r="AL114" s="187">
        <f t="shared" si="40"/>
        <v>0</v>
      </c>
      <c r="AM114" s="187">
        <f t="shared" si="40"/>
        <v>0</v>
      </c>
      <c r="AN114" s="187">
        <f t="shared" si="40"/>
        <v>0</v>
      </c>
      <c r="AO114" s="187">
        <f t="shared" si="40"/>
        <v>0</v>
      </c>
      <c r="AP114" s="187">
        <f t="shared" si="40"/>
        <v>0</v>
      </c>
      <c r="AQ114" s="187">
        <f t="shared" si="40"/>
        <v>0</v>
      </c>
      <c r="AR114" s="187">
        <f t="shared" si="40"/>
        <v>0</v>
      </c>
      <c r="AS114" s="187">
        <f t="shared" si="40"/>
        <v>0</v>
      </c>
      <c r="AT114" s="187">
        <f t="shared" si="40"/>
        <v>0</v>
      </c>
      <c r="AU114" s="187">
        <f t="shared" si="40"/>
        <v>0</v>
      </c>
      <c r="AV114" s="187">
        <f t="shared" si="40"/>
        <v>0</v>
      </c>
      <c r="AW114" s="187">
        <f t="shared" si="40"/>
        <v>0</v>
      </c>
      <c r="AX114" s="187">
        <f t="shared" si="40"/>
        <v>0</v>
      </c>
      <c r="AY114" s="187">
        <f t="shared" si="40"/>
        <v>0</v>
      </c>
      <c r="AZ114" s="187">
        <f t="shared" si="40"/>
        <v>0</v>
      </c>
      <c r="BA114" s="188">
        <f t="shared" si="40"/>
        <v>0</v>
      </c>
    </row>
    <row r="115" spans="1:53" outlineLevel="1">
      <c r="A115" s="127" t="s">
        <v>27</v>
      </c>
      <c r="C115" s="162" t="s">
        <v>74</v>
      </c>
      <c r="D115" s="169"/>
      <c r="E115" s="231" t="s">
        <v>355</v>
      </c>
      <c r="F115" s="180" t="s">
        <v>27</v>
      </c>
      <c r="G115" s="180" t="s">
        <v>27</v>
      </c>
      <c r="H115" s="180" t="s">
        <v>27</v>
      </c>
      <c r="I115" s="180" t="s">
        <v>27</v>
      </c>
      <c r="J115" s="180" t="s">
        <v>27</v>
      </c>
      <c r="K115" s="181" t="s">
        <v>27</v>
      </c>
      <c r="L115" s="181" t="s">
        <v>27</v>
      </c>
      <c r="M115" s="182" t="s">
        <v>27</v>
      </c>
      <c r="N115" s="202" t="str">
        <f>IF(N63&lt;=N69,"x",ROUND(N63-N69,4))</f>
        <v>x</v>
      </c>
      <c r="O115" s="203" t="str">
        <f>IF(O63&lt;=O69,"x",ROUND(O63-O69,4))</f>
        <v>x</v>
      </c>
      <c r="P115" s="203" t="str">
        <f>IF(P63&lt;=P69,"x",ROUND(P63-P69,4))</f>
        <v>x</v>
      </c>
      <c r="Q115" s="203" t="str">
        <f>IF(Q63&lt;=Q69,"x",ROUND(Q63-Q69,4))</f>
        <v>x</v>
      </c>
      <c r="R115" s="203" t="str">
        <f t="shared" ref="R115:X115" si="41">IF(R9&lt;=Ostatni_rok_analizy,IF(R63&lt;=R69,"x",ROUND(R63-R69,4)),0)</f>
        <v>x</v>
      </c>
      <c r="S115" s="203" t="str">
        <f t="shared" si="41"/>
        <v>x</v>
      </c>
      <c r="T115" s="203" t="str">
        <f t="shared" si="41"/>
        <v>x</v>
      </c>
      <c r="U115" s="203" t="str">
        <f t="shared" si="41"/>
        <v>x</v>
      </c>
      <c r="V115" s="203" t="str">
        <f t="shared" si="41"/>
        <v>x</v>
      </c>
      <c r="W115" s="203" t="str">
        <f t="shared" si="41"/>
        <v>x</v>
      </c>
      <c r="X115" s="203" t="str">
        <f t="shared" si="41"/>
        <v>x</v>
      </c>
      <c r="Y115" s="203" t="str">
        <f t="shared" ref="Y115:BA115" si="42">IF(Y9&lt;=Ostatni_rok_analizy,IF(Y63&lt;=Y69,"x",ROUND(Y63-Y69,4)),0)</f>
        <v>x</v>
      </c>
      <c r="Z115" s="203">
        <f t="shared" si="42"/>
        <v>0</v>
      </c>
      <c r="AA115" s="203">
        <f t="shared" si="42"/>
        <v>0</v>
      </c>
      <c r="AB115" s="203">
        <f t="shared" si="42"/>
        <v>0</v>
      </c>
      <c r="AC115" s="203">
        <f t="shared" si="42"/>
        <v>0</v>
      </c>
      <c r="AD115" s="203">
        <f t="shared" si="42"/>
        <v>0</v>
      </c>
      <c r="AE115" s="203">
        <f t="shared" si="42"/>
        <v>0</v>
      </c>
      <c r="AF115" s="203">
        <f t="shared" si="42"/>
        <v>0</v>
      </c>
      <c r="AG115" s="203">
        <f t="shared" si="42"/>
        <v>0</v>
      </c>
      <c r="AH115" s="203">
        <f t="shared" si="42"/>
        <v>0</v>
      </c>
      <c r="AI115" s="203">
        <f t="shared" si="42"/>
        <v>0</v>
      </c>
      <c r="AJ115" s="203">
        <f t="shared" si="42"/>
        <v>0</v>
      </c>
      <c r="AK115" s="203">
        <f t="shared" si="42"/>
        <v>0</v>
      </c>
      <c r="AL115" s="203">
        <f t="shared" si="42"/>
        <v>0</v>
      </c>
      <c r="AM115" s="203">
        <f t="shared" si="42"/>
        <v>0</v>
      </c>
      <c r="AN115" s="203">
        <f t="shared" si="42"/>
        <v>0</v>
      </c>
      <c r="AO115" s="203">
        <f t="shared" si="42"/>
        <v>0</v>
      </c>
      <c r="AP115" s="203">
        <f t="shared" si="42"/>
        <v>0</v>
      </c>
      <c r="AQ115" s="203">
        <f t="shared" si="42"/>
        <v>0</v>
      </c>
      <c r="AR115" s="203">
        <f t="shared" si="42"/>
        <v>0</v>
      </c>
      <c r="AS115" s="203">
        <f t="shared" si="42"/>
        <v>0</v>
      </c>
      <c r="AT115" s="203">
        <f t="shared" si="42"/>
        <v>0</v>
      </c>
      <c r="AU115" s="203">
        <f t="shared" si="42"/>
        <v>0</v>
      </c>
      <c r="AV115" s="203">
        <f t="shared" si="42"/>
        <v>0</v>
      </c>
      <c r="AW115" s="203">
        <f t="shared" si="42"/>
        <v>0</v>
      </c>
      <c r="AX115" s="203">
        <f t="shared" si="42"/>
        <v>0</v>
      </c>
      <c r="AY115" s="203">
        <f t="shared" si="42"/>
        <v>0</v>
      </c>
      <c r="AZ115" s="203">
        <f t="shared" si="42"/>
        <v>0</v>
      </c>
      <c r="BA115" s="204">
        <f t="shared" si="42"/>
        <v>0</v>
      </c>
    </row>
    <row r="116" spans="1:53" outlineLevel="1">
      <c r="A116" s="127" t="s">
        <v>27</v>
      </c>
      <c r="C116" s="189" t="s">
        <v>75</v>
      </c>
      <c r="D116" s="190"/>
      <c r="E116" s="229" t="s">
        <v>356</v>
      </c>
      <c r="F116" s="191" t="s">
        <v>27</v>
      </c>
      <c r="G116" s="191" t="s">
        <v>27</v>
      </c>
      <c r="H116" s="191" t="s">
        <v>27</v>
      </c>
      <c r="I116" s="191" t="s">
        <v>27</v>
      </c>
      <c r="J116" s="191" t="s">
        <v>27</v>
      </c>
      <c r="K116" s="192" t="s">
        <v>27</v>
      </c>
      <c r="L116" s="192" t="s">
        <v>27</v>
      </c>
      <c r="M116" s="193" t="s">
        <v>27</v>
      </c>
      <c r="N116" s="205" t="str">
        <f>IF(N63&lt;=N70,"x",ROUND(N63-N70,4))</f>
        <v>x</v>
      </c>
      <c r="O116" s="206" t="str">
        <f>IF(O63&lt;=O70,"x",ROUND(O63-O70,4))</f>
        <v>x</v>
      </c>
      <c r="P116" s="206" t="str">
        <f>IF(P63&lt;=P70,"x",ROUND(P63-P70,4))</f>
        <v>x</v>
      </c>
      <c r="Q116" s="206" t="str">
        <f>IF(Q63&lt;=Q70,"x",ROUND(Q63-Q70,4))</f>
        <v>x</v>
      </c>
      <c r="R116" s="206" t="str">
        <f t="shared" ref="R116:X116" si="43">IF(R9&lt;=Ostatni_rok_analizy,IF(R63&lt;=R70,"x",ROUND(R63-R70,4)),0)</f>
        <v>x</v>
      </c>
      <c r="S116" s="206" t="str">
        <f t="shared" si="43"/>
        <v>x</v>
      </c>
      <c r="T116" s="206" t="str">
        <f t="shared" si="43"/>
        <v>x</v>
      </c>
      <c r="U116" s="206" t="str">
        <f t="shared" si="43"/>
        <v>x</v>
      </c>
      <c r="V116" s="206" t="str">
        <f t="shared" si="43"/>
        <v>x</v>
      </c>
      <c r="W116" s="206" t="str">
        <f t="shared" si="43"/>
        <v>x</v>
      </c>
      <c r="X116" s="206" t="str">
        <f t="shared" si="43"/>
        <v>x</v>
      </c>
      <c r="Y116" s="206" t="str">
        <f t="shared" ref="Y116:BA116" si="44">IF(Y9&lt;=Ostatni_rok_analizy,IF(Y63&lt;=Y70,"x",ROUND(Y63-Y70,4)),0)</f>
        <v>x</v>
      </c>
      <c r="Z116" s="206">
        <f t="shared" si="44"/>
        <v>0</v>
      </c>
      <c r="AA116" s="206">
        <f t="shared" si="44"/>
        <v>0</v>
      </c>
      <c r="AB116" s="206">
        <f t="shared" si="44"/>
        <v>0</v>
      </c>
      <c r="AC116" s="206">
        <f t="shared" si="44"/>
        <v>0</v>
      </c>
      <c r="AD116" s="206">
        <f t="shared" si="44"/>
        <v>0</v>
      </c>
      <c r="AE116" s="206">
        <f t="shared" si="44"/>
        <v>0</v>
      </c>
      <c r="AF116" s="206">
        <f t="shared" si="44"/>
        <v>0</v>
      </c>
      <c r="AG116" s="206">
        <f t="shared" si="44"/>
        <v>0</v>
      </c>
      <c r="AH116" s="206">
        <f t="shared" si="44"/>
        <v>0</v>
      </c>
      <c r="AI116" s="206">
        <f t="shared" si="44"/>
        <v>0</v>
      </c>
      <c r="AJ116" s="206">
        <f t="shared" si="44"/>
        <v>0</v>
      </c>
      <c r="AK116" s="206">
        <f t="shared" si="44"/>
        <v>0</v>
      </c>
      <c r="AL116" s="206">
        <f t="shared" si="44"/>
        <v>0</v>
      </c>
      <c r="AM116" s="206">
        <f t="shared" si="44"/>
        <v>0</v>
      </c>
      <c r="AN116" s="206">
        <f t="shared" si="44"/>
        <v>0</v>
      </c>
      <c r="AO116" s="206">
        <f t="shared" si="44"/>
        <v>0</v>
      </c>
      <c r="AP116" s="206">
        <f t="shared" si="44"/>
        <v>0</v>
      </c>
      <c r="AQ116" s="206">
        <f t="shared" si="44"/>
        <v>0</v>
      </c>
      <c r="AR116" s="206">
        <f t="shared" si="44"/>
        <v>0</v>
      </c>
      <c r="AS116" s="206">
        <f t="shared" si="44"/>
        <v>0</v>
      </c>
      <c r="AT116" s="206">
        <f t="shared" si="44"/>
        <v>0</v>
      </c>
      <c r="AU116" s="206">
        <f t="shared" si="44"/>
        <v>0</v>
      </c>
      <c r="AV116" s="206">
        <f t="shared" si="44"/>
        <v>0</v>
      </c>
      <c r="AW116" s="206">
        <f t="shared" si="44"/>
        <v>0</v>
      </c>
      <c r="AX116" s="206">
        <f t="shared" si="44"/>
        <v>0</v>
      </c>
      <c r="AY116" s="206">
        <f t="shared" si="44"/>
        <v>0</v>
      </c>
      <c r="AZ116" s="206">
        <f t="shared" si="44"/>
        <v>0</v>
      </c>
      <c r="BA116" s="207">
        <f t="shared" si="44"/>
        <v>0</v>
      </c>
    </row>
    <row r="117" spans="1:53"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</row>
    <row r="118" spans="1:53" s="246" customFormat="1" ht="15">
      <c r="A118" s="244"/>
      <c r="B118" s="244"/>
      <c r="C118" s="1"/>
      <c r="D118" s="1"/>
      <c r="E118" s="224" t="s">
        <v>590</v>
      </c>
      <c r="F118" s="224"/>
      <c r="G118" s="224"/>
      <c r="H118" s="224"/>
      <c r="I118" s="224"/>
      <c r="J118" s="224"/>
      <c r="K118" s="224"/>
      <c r="L118" s="224"/>
      <c r="M118" s="2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s="246" customFormat="1" outlineLevel="1">
      <c r="A119" s="244"/>
      <c r="B119" s="244"/>
      <c r="C119" s="1"/>
      <c r="D119" s="1"/>
      <c r="E119" s="41" t="s">
        <v>29</v>
      </c>
      <c r="F119" s="41"/>
      <c r="G119" s="41"/>
      <c r="H119" s="41"/>
      <c r="I119" s="41"/>
      <c r="J119" s="305"/>
      <c r="K119" s="305"/>
      <c r="L119" s="305"/>
      <c r="M119" s="30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s="246" customFormat="1" outlineLevel="1">
      <c r="A120" s="244"/>
      <c r="B120" s="244"/>
      <c r="C120" s="1"/>
      <c r="D120" s="1"/>
      <c r="E120" s="306">
        <v>0</v>
      </c>
      <c r="F120" s="17" t="str">
        <f>+"różnica mniejsza od "&amp;TEXT($E$120*100,"0,0")&amp;"%"</f>
        <v>różnica mniejsza od 0,0%</v>
      </c>
      <c r="J120" s="17" t="str">
        <f>+"różnica mniejsza od "&amp;TEXT($E$120*100,"0,0")&amp;"%"</f>
        <v>różnica mniejsza od 0,0%</v>
      </c>
      <c r="K120" s="307"/>
      <c r="L120" s="307"/>
      <c r="M120" s="17" t="str">
        <f>+"różnica mniejsza od "&amp;TEXT($E$120*100,"0,0")&amp;"%"</f>
        <v>różnica mniejsza od 0,0%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s="246" customFormat="1" outlineLevel="1">
      <c r="A121" s="244"/>
      <c r="B121" s="244"/>
      <c r="C121" s="1"/>
      <c r="D121" s="1"/>
      <c r="E121" s="308">
        <v>5.0000000000000001E-3</v>
      </c>
      <c r="F121" s="17" t="str">
        <f>+"różnica mniejsza od "&amp;TEXT($E$121*100,"0,0")&amp;"%"</f>
        <v>różnica mniejsza od 0,5%</v>
      </c>
      <c r="J121" s="17" t="str">
        <f>+"różnica mniejsza od "&amp;TEXT($E$121*100,"0,0")&amp;"%"</f>
        <v>różnica mniejsza od 0,5%</v>
      </c>
      <c r="K121" s="307"/>
      <c r="L121" s="307"/>
      <c r="M121" s="17" t="str">
        <f>+"różnica mniejsza od "&amp;TEXT($E$121*100,"0,0")&amp;"%"</f>
        <v>różnica mniejsza od 0,5%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s="246" customFormat="1" outlineLevel="1">
      <c r="A122" s="244"/>
      <c r="B122" s="244"/>
      <c r="C122" s="1"/>
      <c r="D122" s="1"/>
      <c r="E122" s="309">
        <v>0.01</v>
      </c>
      <c r="F122" s="17" t="str">
        <f>+"różnica mniejsza od "&amp;TEXT($E$122*100,"0,0")&amp;"%"</f>
        <v>różnica mniejsza od 1,0%</v>
      </c>
      <c r="J122" s="17" t="str">
        <f>+"różnica mniejsza od "&amp;TEXT($E$122*100,"0,0")&amp;"%"</f>
        <v>różnica mniejsza od 1,0%</v>
      </c>
      <c r="K122" s="307"/>
      <c r="L122" s="307"/>
      <c r="M122" s="17" t="str">
        <f>+"różnica mniejsza od "&amp;TEXT($E$122*100,"0,0")&amp;"%"</f>
        <v>różnica mniejsza od 1,0%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s="246" customFormat="1" ht="15" outlineLevel="1">
      <c r="A123" s="244"/>
      <c r="B123" s="244"/>
      <c r="C123" s="1"/>
      <c r="D123" s="1"/>
      <c r="E123" s="289" t="s">
        <v>591</v>
      </c>
      <c r="F123" s="51" t="s">
        <v>27</v>
      </c>
      <c r="G123" s="51" t="s">
        <v>27</v>
      </c>
      <c r="H123" s="51" t="s">
        <v>27</v>
      </c>
      <c r="I123" s="51" t="s">
        <v>27</v>
      </c>
      <c r="J123" s="51" t="s">
        <v>27</v>
      </c>
      <c r="K123" s="51" t="s">
        <v>27</v>
      </c>
      <c r="L123" s="51" t="s">
        <v>27</v>
      </c>
      <c r="M123" s="52" t="s">
        <v>27</v>
      </c>
      <c r="N123" s="290">
        <f t="shared" ref="N123:BA123" si="45">+IF(N$10=0,"",ROUND(N$69-N$63,4))</f>
        <v>0.13830000000000001</v>
      </c>
      <c r="O123" s="291">
        <f t="shared" si="45"/>
        <v>7.0900000000000005E-2</v>
      </c>
      <c r="P123" s="291">
        <f t="shared" si="45"/>
        <v>6.2700000000000006E-2</v>
      </c>
      <c r="Q123" s="291">
        <f t="shared" si="45"/>
        <v>5.4899999999999997E-2</v>
      </c>
      <c r="R123" s="291">
        <f t="shared" si="45"/>
        <v>4.3400000000000001E-2</v>
      </c>
      <c r="S123" s="291">
        <f t="shared" si="45"/>
        <v>3.4700000000000002E-2</v>
      </c>
      <c r="T123" s="291">
        <f t="shared" si="45"/>
        <v>4.3799999999999999E-2</v>
      </c>
      <c r="U123" s="291">
        <f t="shared" si="45"/>
        <v>5.1900000000000002E-2</v>
      </c>
      <c r="V123" s="291">
        <f t="shared" si="45"/>
        <v>6.5000000000000002E-2</v>
      </c>
      <c r="W123" s="291">
        <f t="shared" si="45"/>
        <v>7.4800000000000005E-2</v>
      </c>
      <c r="X123" s="291">
        <f t="shared" si="45"/>
        <v>8.0399999999999999E-2</v>
      </c>
      <c r="Y123" s="291">
        <f t="shared" si="45"/>
        <v>8.9899999999999994E-2</v>
      </c>
      <c r="Z123" s="291" t="str">
        <f t="shared" si="45"/>
        <v/>
      </c>
      <c r="AA123" s="291" t="str">
        <f t="shared" si="45"/>
        <v/>
      </c>
      <c r="AB123" s="291" t="str">
        <f t="shared" si="45"/>
        <v/>
      </c>
      <c r="AC123" s="291" t="str">
        <f t="shared" si="45"/>
        <v/>
      </c>
      <c r="AD123" s="291" t="str">
        <f t="shared" si="45"/>
        <v/>
      </c>
      <c r="AE123" s="291" t="str">
        <f t="shared" si="45"/>
        <v/>
      </c>
      <c r="AF123" s="291" t="str">
        <f t="shared" si="45"/>
        <v/>
      </c>
      <c r="AG123" s="291" t="str">
        <f t="shared" si="45"/>
        <v/>
      </c>
      <c r="AH123" s="291" t="str">
        <f t="shared" si="45"/>
        <v/>
      </c>
      <c r="AI123" s="291" t="str">
        <f t="shared" si="45"/>
        <v/>
      </c>
      <c r="AJ123" s="291" t="str">
        <f t="shared" si="45"/>
        <v/>
      </c>
      <c r="AK123" s="291" t="str">
        <f t="shared" si="45"/>
        <v/>
      </c>
      <c r="AL123" s="291" t="str">
        <f t="shared" si="45"/>
        <v/>
      </c>
      <c r="AM123" s="291" t="str">
        <f t="shared" si="45"/>
        <v/>
      </c>
      <c r="AN123" s="291" t="str">
        <f t="shared" si="45"/>
        <v/>
      </c>
      <c r="AO123" s="291" t="str">
        <f t="shared" si="45"/>
        <v/>
      </c>
      <c r="AP123" s="291" t="str">
        <f t="shared" si="45"/>
        <v/>
      </c>
      <c r="AQ123" s="291" t="str">
        <f t="shared" si="45"/>
        <v/>
      </c>
      <c r="AR123" s="291" t="str">
        <f t="shared" si="45"/>
        <v/>
      </c>
      <c r="AS123" s="291" t="str">
        <f t="shared" si="45"/>
        <v/>
      </c>
      <c r="AT123" s="291" t="str">
        <f t="shared" si="45"/>
        <v/>
      </c>
      <c r="AU123" s="291" t="str">
        <f t="shared" si="45"/>
        <v/>
      </c>
      <c r="AV123" s="291" t="str">
        <f t="shared" si="45"/>
        <v/>
      </c>
      <c r="AW123" s="291" t="str">
        <f t="shared" si="45"/>
        <v/>
      </c>
      <c r="AX123" s="291" t="str">
        <f t="shared" si="45"/>
        <v/>
      </c>
      <c r="AY123" s="291" t="str">
        <f t="shared" si="45"/>
        <v/>
      </c>
      <c r="AZ123" s="291" t="str">
        <f t="shared" si="45"/>
        <v/>
      </c>
      <c r="BA123" s="292" t="str">
        <f t="shared" si="45"/>
        <v/>
      </c>
    </row>
    <row r="124" spans="1:53" s="246" customFormat="1" ht="15" outlineLevel="1">
      <c r="A124" s="244"/>
      <c r="B124" s="244"/>
      <c r="C124" s="1"/>
      <c r="D124" s="1"/>
      <c r="E124" s="293" t="s">
        <v>592</v>
      </c>
      <c r="F124" s="53" t="s">
        <v>27</v>
      </c>
      <c r="G124" s="53" t="s">
        <v>27</v>
      </c>
      <c r="H124" s="53" t="s">
        <v>27</v>
      </c>
      <c r="I124" s="53" t="s">
        <v>27</v>
      </c>
      <c r="J124" s="53" t="s">
        <v>27</v>
      </c>
      <c r="K124" s="53" t="s">
        <v>27</v>
      </c>
      <c r="L124" s="53" t="s">
        <v>27</v>
      </c>
      <c r="M124" s="54" t="s">
        <v>27</v>
      </c>
      <c r="N124" s="294">
        <f t="shared" ref="N124:BA124" si="46">+IF(N$10=0,"",ROUND(N$70-N$63,4))</f>
        <v>0.1671</v>
      </c>
      <c r="O124" s="295">
        <f t="shared" si="46"/>
        <v>9.9599999999999994E-2</v>
      </c>
      <c r="P124" s="295">
        <f t="shared" si="46"/>
        <v>9.1399999999999995E-2</v>
      </c>
      <c r="Q124" s="295">
        <f t="shared" si="46"/>
        <v>8.3699999999999997E-2</v>
      </c>
      <c r="R124" s="295">
        <f t="shared" si="46"/>
        <v>6.0400000000000002E-2</v>
      </c>
      <c r="S124" s="295">
        <f t="shared" si="46"/>
        <v>5.1700000000000003E-2</v>
      </c>
      <c r="T124" s="295">
        <f t="shared" si="46"/>
        <v>6.08E-2</v>
      </c>
      <c r="U124" s="295">
        <f t="shared" si="46"/>
        <v>5.1900000000000002E-2</v>
      </c>
      <c r="V124" s="295">
        <f t="shared" si="46"/>
        <v>6.5000000000000002E-2</v>
      </c>
      <c r="W124" s="295">
        <f t="shared" si="46"/>
        <v>7.4800000000000005E-2</v>
      </c>
      <c r="X124" s="295">
        <f t="shared" si="46"/>
        <v>8.0399999999999999E-2</v>
      </c>
      <c r="Y124" s="295">
        <f t="shared" si="46"/>
        <v>8.9899999999999994E-2</v>
      </c>
      <c r="Z124" s="295" t="str">
        <f t="shared" si="46"/>
        <v/>
      </c>
      <c r="AA124" s="295" t="str">
        <f t="shared" si="46"/>
        <v/>
      </c>
      <c r="AB124" s="295" t="str">
        <f t="shared" si="46"/>
        <v/>
      </c>
      <c r="AC124" s="295" t="str">
        <f t="shared" si="46"/>
        <v/>
      </c>
      <c r="AD124" s="295" t="str">
        <f t="shared" si="46"/>
        <v/>
      </c>
      <c r="AE124" s="295" t="str">
        <f t="shared" si="46"/>
        <v/>
      </c>
      <c r="AF124" s="295" t="str">
        <f t="shared" si="46"/>
        <v/>
      </c>
      <c r="AG124" s="295" t="str">
        <f t="shared" si="46"/>
        <v/>
      </c>
      <c r="AH124" s="295" t="str">
        <f t="shared" si="46"/>
        <v/>
      </c>
      <c r="AI124" s="295" t="str">
        <f t="shared" si="46"/>
        <v/>
      </c>
      <c r="AJ124" s="295" t="str">
        <f t="shared" si="46"/>
        <v/>
      </c>
      <c r="AK124" s="295" t="str">
        <f t="shared" si="46"/>
        <v/>
      </c>
      <c r="AL124" s="295" t="str">
        <f t="shared" si="46"/>
        <v/>
      </c>
      <c r="AM124" s="295" t="str">
        <f t="shared" si="46"/>
        <v/>
      </c>
      <c r="AN124" s="295" t="str">
        <f t="shared" si="46"/>
        <v/>
      </c>
      <c r="AO124" s="295" t="str">
        <f t="shared" si="46"/>
        <v/>
      </c>
      <c r="AP124" s="295" t="str">
        <f t="shared" si="46"/>
        <v/>
      </c>
      <c r="AQ124" s="295" t="str">
        <f t="shared" si="46"/>
        <v/>
      </c>
      <c r="AR124" s="295" t="str">
        <f t="shared" si="46"/>
        <v/>
      </c>
      <c r="AS124" s="295" t="str">
        <f t="shared" si="46"/>
        <v/>
      </c>
      <c r="AT124" s="295" t="str">
        <f t="shared" si="46"/>
        <v/>
      </c>
      <c r="AU124" s="295" t="str">
        <f t="shared" si="46"/>
        <v/>
      </c>
      <c r="AV124" s="295" t="str">
        <f t="shared" si="46"/>
        <v/>
      </c>
      <c r="AW124" s="295" t="str">
        <f t="shared" si="46"/>
        <v/>
      </c>
      <c r="AX124" s="295" t="str">
        <f t="shared" si="46"/>
        <v/>
      </c>
      <c r="AY124" s="295" t="str">
        <f t="shared" si="46"/>
        <v/>
      </c>
      <c r="AZ124" s="295" t="str">
        <f t="shared" si="46"/>
        <v/>
      </c>
      <c r="BA124" s="296" t="str">
        <f t="shared" si="46"/>
        <v/>
      </c>
    </row>
    <row r="125" spans="1:53" s="246" customFormat="1" ht="15" outlineLevel="1">
      <c r="A125" s="244"/>
      <c r="B125" s="244"/>
      <c r="C125" s="1"/>
      <c r="D125" s="1"/>
      <c r="E125" s="285" t="s">
        <v>555</v>
      </c>
      <c r="F125" s="51" t="s">
        <v>27</v>
      </c>
      <c r="G125" s="51" t="s">
        <v>27</v>
      </c>
      <c r="H125" s="51" t="s">
        <v>27</v>
      </c>
      <c r="I125" s="51" t="s">
        <v>27</v>
      </c>
      <c r="J125" s="51" t="s">
        <v>27</v>
      </c>
      <c r="K125" s="51" t="s">
        <v>27</v>
      </c>
      <c r="L125" s="51" t="s">
        <v>27</v>
      </c>
      <c r="M125" s="52" t="s">
        <v>27</v>
      </c>
      <c r="N125" s="286">
        <f t="shared" ref="N125:BA125" si="47">+IF(N$10=0,"",ROUND(-(N$96/(N$11-N$15-N$111)),4))</f>
        <v>0</v>
      </c>
      <c r="O125" s="287">
        <f t="shared" si="47"/>
        <v>0</v>
      </c>
      <c r="P125" s="287">
        <f t="shared" si="47"/>
        <v>0</v>
      </c>
      <c r="Q125" s="287">
        <f t="shared" si="47"/>
        <v>0</v>
      </c>
      <c r="R125" s="287">
        <f t="shared" si="47"/>
        <v>0</v>
      </c>
      <c r="S125" s="287">
        <f t="shared" si="47"/>
        <v>0</v>
      </c>
      <c r="T125" s="287">
        <f t="shared" si="47"/>
        <v>0</v>
      </c>
      <c r="U125" s="287">
        <f t="shared" si="47"/>
        <v>0</v>
      </c>
      <c r="V125" s="287">
        <f t="shared" si="47"/>
        <v>0</v>
      </c>
      <c r="W125" s="287">
        <f t="shared" si="47"/>
        <v>0</v>
      </c>
      <c r="X125" s="287">
        <f t="shared" si="47"/>
        <v>0</v>
      </c>
      <c r="Y125" s="287">
        <f t="shared" si="47"/>
        <v>0</v>
      </c>
      <c r="Z125" s="287" t="str">
        <f t="shared" si="47"/>
        <v/>
      </c>
      <c r="AA125" s="287" t="str">
        <f t="shared" si="47"/>
        <v/>
      </c>
      <c r="AB125" s="287" t="str">
        <f t="shared" si="47"/>
        <v/>
      </c>
      <c r="AC125" s="287" t="str">
        <f t="shared" si="47"/>
        <v/>
      </c>
      <c r="AD125" s="287" t="str">
        <f t="shared" si="47"/>
        <v/>
      </c>
      <c r="AE125" s="287" t="str">
        <f t="shared" si="47"/>
        <v/>
      </c>
      <c r="AF125" s="287" t="str">
        <f t="shared" si="47"/>
        <v/>
      </c>
      <c r="AG125" s="287" t="str">
        <f t="shared" si="47"/>
        <v/>
      </c>
      <c r="AH125" s="287" t="str">
        <f t="shared" si="47"/>
        <v/>
      </c>
      <c r="AI125" s="287" t="str">
        <f t="shared" si="47"/>
        <v/>
      </c>
      <c r="AJ125" s="287" t="str">
        <f t="shared" si="47"/>
        <v/>
      </c>
      <c r="AK125" s="287" t="str">
        <f t="shared" si="47"/>
        <v/>
      </c>
      <c r="AL125" s="287" t="str">
        <f t="shared" si="47"/>
        <v/>
      </c>
      <c r="AM125" s="287" t="str">
        <f t="shared" si="47"/>
        <v/>
      </c>
      <c r="AN125" s="287" t="str">
        <f t="shared" si="47"/>
        <v/>
      </c>
      <c r="AO125" s="287" t="str">
        <f t="shared" si="47"/>
        <v/>
      </c>
      <c r="AP125" s="287" t="str">
        <f t="shared" si="47"/>
        <v/>
      </c>
      <c r="AQ125" s="287" t="str">
        <f t="shared" si="47"/>
        <v/>
      </c>
      <c r="AR125" s="287" t="str">
        <f t="shared" si="47"/>
        <v/>
      </c>
      <c r="AS125" s="287" t="str">
        <f t="shared" si="47"/>
        <v/>
      </c>
      <c r="AT125" s="287" t="str">
        <f t="shared" si="47"/>
        <v/>
      </c>
      <c r="AU125" s="287" t="str">
        <f t="shared" si="47"/>
        <v/>
      </c>
      <c r="AV125" s="287" t="str">
        <f t="shared" si="47"/>
        <v/>
      </c>
      <c r="AW125" s="287" t="str">
        <f t="shared" si="47"/>
        <v/>
      </c>
      <c r="AX125" s="287" t="str">
        <f t="shared" si="47"/>
        <v/>
      </c>
      <c r="AY125" s="287" t="str">
        <f t="shared" si="47"/>
        <v/>
      </c>
      <c r="AZ125" s="287" t="str">
        <f t="shared" si="47"/>
        <v/>
      </c>
      <c r="BA125" s="288" t="str">
        <f t="shared" si="47"/>
        <v/>
      </c>
    </row>
    <row r="126" spans="1:53" s="246" customFormat="1" ht="27" outlineLevel="1">
      <c r="A126" s="244"/>
      <c r="B126" s="244"/>
      <c r="C126" s="1"/>
      <c r="D126" s="1"/>
      <c r="E126" s="310" t="s">
        <v>593</v>
      </c>
      <c r="F126" s="53" t="s">
        <v>27</v>
      </c>
      <c r="G126" s="53" t="s">
        <v>27</v>
      </c>
      <c r="H126" s="53" t="s">
        <v>27</v>
      </c>
      <c r="I126" s="53" t="s">
        <v>27</v>
      </c>
      <c r="J126" s="53" t="s">
        <v>27</v>
      </c>
      <c r="K126" s="53" t="s">
        <v>27</v>
      </c>
      <c r="L126" s="53" t="s">
        <v>27</v>
      </c>
      <c r="M126" s="54" t="s">
        <v>27</v>
      </c>
      <c r="N126" s="286">
        <f>+IF(N$10=0,"",ROUND((N$49+N$50+N$55+N$25+N$27+N$28+N$29)/(N$11-N$15-N$111),4))</f>
        <v>0</v>
      </c>
      <c r="O126" s="287">
        <f t="shared" ref="O126:BA126" si="48">+IF(O$10=0,"",ROUND((O$49+O$50+O$55+O$25+O$27+O$28+O$29)/(O$11-O$15-O$111),4))</f>
        <v>0</v>
      </c>
      <c r="P126" s="287">
        <f t="shared" si="48"/>
        <v>0</v>
      </c>
      <c r="Q126" s="287">
        <f t="shared" si="48"/>
        <v>0</v>
      </c>
      <c r="R126" s="287">
        <f t="shared" si="48"/>
        <v>0</v>
      </c>
      <c r="S126" s="287">
        <f t="shared" si="48"/>
        <v>0</v>
      </c>
      <c r="T126" s="287">
        <f t="shared" si="48"/>
        <v>0</v>
      </c>
      <c r="U126" s="287">
        <f t="shared" si="48"/>
        <v>0</v>
      </c>
      <c r="V126" s="287">
        <f t="shared" si="48"/>
        <v>0</v>
      </c>
      <c r="W126" s="287">
        <f t="shared" si="48"/>
        <v>0</v>
      </c>
      <c r="X126" s="287">
        <f t="shared" si="48"/>
        <v>0</v>
      </c>
      <c r="Y126" s="287">
        <f t="shared" si="48"/>
        <v>0</v>
      </c>
      <c r="Z126" s="287" t="str">
        <f t="shared" si="48"/>
        <v/>
      </c>
      <c r="AA126" s="287" t="str">
        <f t="shared" si="48"/>
        <v/>
      </c>
      <c r="AB126" s="287" t="str">
        <f t="shared" si="48"/>
        <v/>
      </c>
      <c r="AC126" s="287" t="str">
        <f t="shared" si="48"/>
        <v/>
      </c>
      <c r="AD126" s="287" t="str">
        <f t="shared" si="48"/>
        <v/>
      </c>
      <c r="AE126" s="287" t="str">
        <f t="shared" si="48"/>
        <v/>
      </c>
      <c r="AF126" s="287" t="str">
        <f t="shared" si="48"/>
        <v/>
      </c>
      <c r="AG126" s="287" t="str">
        <f t="shared" si="48"/>
        <v/>
      </c>
      <c r="AH126" s="287" t="str">
        <f t="shared" si="48"/>
        <v/>
      </c>
      <c r="AI126" s="287" t="str">
        <f t="shared" si="48"/>
        <v/>
      </c>
      <c r="AJ126" s="287" t="str">
        <f t="shared" si="48"/>
        <v/>
      </c>
      <c r="AK126" s="287" t="str">
        <f t="shared" si="48"/>
        <v/>
      </c>
      <c r="AL126" s="287" t="str">
        <f t="shared" si="48"/>
        <v/>
      </c>
      <c r="AM126" s="287" t="str">
        <f t="shared" si="48"/>
        <v/>
      </c>
      <c r="AN126" s="287" t="str">
        <f t="shared" si="48"/>
        <v/>
      </c>
      <c r="AO126" s="287" t="str">
        <f t="shared" si="48"/>
        <v/>
      </c>
      <c r="AP126" s="287" t="str">
        <f t="shared" si="48"/>
        <v/>
      </c>
      <c r="AQ126" s="287" t="str">
        <f t="shared" si="48"/>
        <v/>
      </c>
      <c r="AR126" s="287" t="str">
        <f t="shared" si="48"/>
        <v/>
      </c>
      <c r="AS126" s="287" t="str">
        <f t="shared" si="48"/>
        <v/>
      </c>
      <c r="AT126" s="287" t="str">
        <f t="shared" si="48"/>
        <v/>
      </c>
      <c r="AU126" s="287" t="str">
        <f t="shared" si="48"/>
        <v/>
      </c>
      <c r="AV126" s="287" t="str">
        <f t="shared" si="48"/>
        <v/>
      </c>
      <c r="AW126" s="287" t="str">
        <f t="shared" si="48"/>
        <v/>
      </c>
      <c r="AX126" s="287" t="str">
        <f t="shared" si="48"/>
        <v/>
      </c>
      <c r="AY126" s="287" t="str">
        <f t="shared" si="48"/>
        <v/>
      </c>
      <c r="AZ126" s="287" t="str">
        <f t="shared" si="48"/>
        <v/>
      </c>
      <c r="BA126" s="288" t="str">
        <f t="shared" si="48"/>
        <v/>
      </c>
    </row>
    <row r="127" spans="1:53" s="246" customFormat="1" ht="15" outlineLevel="1">
      <c r="A127" s="244"/>
      <c r="B127" s="244"/>
      <c r="C127" s="1"/>
      <c r="D127" s="1"/>
      <c r="E127" s="289" t="s">
        <v>556</v>
      </c>
      <c r="F127" s="51" t="s">
        <v>27</v>
      </c>
      <c r="G127" s="51" t="s">
        <v>27</v>
      </c>
      <c r="H127" s="51" t="s">
        <v>27</v>
      </c>
      <c r="I127" s="51" t="s">
        <v>27</v>
      </c>
      <c r="J127" s="51" t="s">
        <v>27</v>
      </c>
      <c r="K127" s="51" t="s">
        <v>27</v>
      </c>
      <c r="L127" s="51" t="s">
        <v>27</v>
      </c>
      <c r="M127" s="52" t="s">
        <v>27</v>
      </c>
      <c r="N127" s="290">
        <f t="shared" ref="N127:BA127" si="49">+IF(N$10=0,"",ROUND(N$123-N$125-N$126,4))</f>
        <v>0.13830000000000001</v>
      </c>
      <c r="O127" s="291">
        <f t="shared" si="49"/>
        <v>7.0900000000000005E-2</v>
      </c>
      <c r="P127" s="291">
        <f t="shared" si="49"/>
        <v>6.2700000000000006E-2</v>
      </c>
      <c r="Q127" s="291">
        <f t="shared" si="49"/>
        <v>5.4899999999999997E-2</v>
      </c>
      <c r="R127" s="291">
        <f t="shared" si="49"/>
        <v>4.3400000000000001E-2</v>
      </c>
      <c r="S127" s="291">
        <f t="shared" si="49"/>
        <v>3.4700000000000002E-2</v>
      </c>
      <c r="T127" s="291">
        <f t="shared" si="49"/>
        <v>4.3799999999999999E-2</v>
      </c>
      <c r="U127" s="291">
        <f t="shared" si="49"/>
        <v>5.1900000000000002E-2</v>
      </c>
      <c r="V127" s="291">
        <f t="shared" si="49"/>
        <v>6.5000000000000002E-2</v>
      </c>
      <c r="W127" s="291">
        <f t="shared" si="49"/>
        <v>7.4800000000000005E-2</v>
      </c>
      <c r="X127" s="291">
        <f t="shared" si="49"/>
        <v>8.0399999999999999E-2</v>
      </c>
      <c r="Y127" s="291">
        <f t="shared" si="49"/>
        <v>8.9899999999999994E-2</v>
      </c>
      <c r="Z127" s="291" t="str">
        <f t="shared" si="49"/>
        <v/>
      </c>
      <c r="AA127" s="291" t="str">
        <f t="shared" si="49"/>
        <v/>
      </c>
      <c r="AB127" s="291" t="str">
        <f t="shared" si="49"/>
        <v/>
      </c>
      <c r="AC127" s="291" t="str">
        <f t="shared" si="49"/>
        <v/>
      </c>
      <c r="AD127" s="291" t="str">
        <f t="shared" si="49"/>
        <v/>
      </c>
      <c r="AE127" s="291" t="str">
        <f t="shared" si="49"/>
        <v/>
      </c>
      <c r="AF127" s="291" t="str">
        <f t="shared" si="49"/>
        <v/>
      </c>
      <c r="AG127" s="291" t="str">
        <f t="shared" si="49"/>
        <v/>
      </c>
      <c r="AH127" s="291" t="str">
        <f t="shared" si="49"/>
        <v/>
      </c>
      <c r="AI127" s="291" t="str">
        <f t="shared" si="49"/>
        <v/>
      </c>
      <c r="AJ127" s="291" t="str">
        <f t="shared" si="49"/>
        <v/>
      </c>
      <c r="AK127" s="291" t="str">
        <f t="shared" si="49"/>
        <v/>
      </c>
      <c r="AL127" s="291" t="str">
        <f t="shared" si="49"/>
        <v/>
      </c>
      <c r="AM127" s="291" t="str">
        <f t="shared" si="49"/>
        <v/>
      </c>
      <c r="AN127" s="291" t="str">
        <f t="shared" si="49"/>
        <v/>
      </c>
      <c r="AO127" s="291" t="str">
        <f t="shared" si="49"/>
        <v/>
      </c>
      <c r="AP127" s="291" t="str">
        <f t="shared" si="49"/>
        <v/>
      </c>
      <c r="AQ127" s="291" t="str">
        <f t="shared" si="49"/>
        <v/>
      </c>
      <c r="AR127" s="291" t="str">
        <f t="shared" si="49"/>
        <v/>
      </c>
      <c r="AS127" s="291" t="str">
        <f t="shared" si="49"/>
        <v/>
      </c>
      <c r="AT127" s="291" t="str">
        <f t="shared" si="49"/>
        <v/>
      </c>
      <c r="AU127" s="291" t="str">
        <f t="shared" si="49"/>
        <v/>
      </c>
      <c r="AV127" s="291" t="str">
        <f t="shared" si="49"/>
        <v/>
      </c>
      <c r="AW127" s="291" t="str">
        <f t="shared" si="49"/>
        <v/>
      </c>
      <c r="AX127" s="291" t="str">
        <f t="shared" si="49"/>
        <v/>
      </c>
      <c r="AY127" s="291" t="str">
        <f t="shared" si="49"/>
        <v/>
      </c>
      <c r="AZ127" s="291" t="str">
        <f t="shared" si="49"/>
        <v/>
      </c>
      <c r="BA127" s="292" t="str">
        <f t="shared" si="49"/>
        <v/>
      </c>
    </row>
    <row r="128" spans="1:53" s="246" customFormat="1" ht="15" outlineLevel="1">
      <c r="A128" s="244"/>
      <c r="B128" s="244"/>
      <c r="C128" s="1"/>
      <c r="D128" s="1"/>
      <c r="E128" s="293" t="s">
        <v>557</v>
      </c>
      <c r="F128" s="53" t="s">
        <v>27</v>
      </c>
      <c r="G128" s="53" t="s">
        <v>27</v>
      </c>
      <c r="H128" s="53" t="s">
        <v>27</v>
      </c>
      <c r="I128" s="53" t="s">
        <v>27</v>
      </c>
      <c r="J128" s="53" t="s">
        <v>27</v>
      </c>
      <c r="K128" s="53" t="s">
        <v>27</v>
      </c>
      <c r="L128" s="53" t="s">
        <v>27</v>
      </c>
      <c r="M128" s="54" t="s">
        <v>27</v>
      </c>
      <c r="N128" s="294">
        <f t="shared" ref="N128:BA128" si="50">+IF(N$10=0,"",ROUND(N$124-N$125-N$126,4))</f>
        <v>0.1671</v>
      </c>
      <c r="O128" s="295">
        <f t="shared" si="50"/>
        <v>9.9599999999999994E-2</v>
      </c>
      <c r="P128" s="295">
        <f t="shared" si="50"/>
        <v>9.1399999999999995E-2</v>
      </c>
      <c r="Q128" s="295">
        <f t="shared" si="50"/>
        <v>8.3699999999999997E-2</v>
      </c>
      <c r="R128" s="295">
        <f t="shared" si="50"/>
        <v>6.0400000000000002E-2</v>
      </c>
      <c r="S128" s="295">
        <f t="shared" si="50"/>
        <v>5.1700000000000003E-2</v>
      </c>
      <c r="T128" s="295">
        <f t="shared" si="50"/>
        <v>6.08E-2</v>
      </c>
      <c r="U128" s="295">
        <f t="shared" si="50"/>
        <v>5.1900000000000002E-2</v>
      </c>
      <c r="V128" s="295">
        <f t="shared" si="50"/>
        <v>6.5000000000000002E-2</v>
      </c>
      <c r="W128" s="295">
        <f t="shared" si="50"/>
        <v>7.4800000000000005E-2</v>
      </c>
      <c r="X128" s="295">
        <f t="shared" si="50"/>
        <v>8.0399999999999999E-2</v>
      </c>
      <c r="Y128" s="295">
        <f t="shared" si="50"/>
        <v>8.9899999999999994E-2</v>
      </c>
      <c r="Z128" s="295" t="str">
        <f t="shared" si="50"/>
        <v/>
      </c>
      <c r="AA128" s="295" t="str">
        <f t="shared" si="50"/>
        <v/>
      </c>
      <c r="AB128" s="295" t="str">
        <f t="shared" si="50"/>
        <v/>
      </c>
      <c r="AC128" s="295" t="str">
        <f t="shared" si="50"/>
        <v/>
      </c>
      <c r="AD128" s="295" t="str">
        <f t="shared" si="50"/>
        <v/>
      </c>
      <c r="AE128" s="295" t="str">
        <f t="shared" si="50"/>
        <v/>
      </c>
      <c r="AF128" s="295" t="str">
        <f t="shared" si="50"/>
        <v/>
      </c>
      <c r="AG128" s="295" t="str">
        <f t="shared" si="50"/>
        <v/>
      </c>
      <c r="AH128" s="295" t="str">
        <f t="shared" si="50"/>
        <v/>
      </c>
      <c r="AI128" s="295" t="str">
        <f t="shared" si="50"/>
        <v/>
      </c>
      <c r="AJ128" s="295" t="str">
        <f t="shared" si="50"/>
        <v/>
      </c>
      <c r="AK128" s="295" t="str">
        <f t="shared" si="50"/>
        <v/>
      </c>
      <c r="AL128" s="295" t="str">
        <f t="shared" si="50"/>
        <v/>
      </c>
      <c r="AM128" s="295" t="str">
        <f t="shared" si="50"/>
        <v/>
      </c>
      <c r="AN128" s="295" t="str">
        <f t="shared" si="50"/>
        <v/>
      </c>
      <c r="AO128" s="295" t="str">
        <f t="shared" si="50"/>
        <v/>
      </c>
      <c r="AP128" s="295" t="str">
        <f t="shared" si="50"/>
        <v/>
      </c>
      <c r="AQ128" s="295" t="str">
        <f t="shared" si="50"/>
        <v/>
      </c>
      <c r="AR128" s="295" t="str">
        <f t="shared" si="50"/>
        <v/>
      </c>
      <c r="AS128" s="295" t="str">
        <f t="shared" si="50"/>
        <v/>
      </c>
      <c r="AT128" s="295" t="str">
        <f t="shared" si="50"/>
        <v/>
      </c>
      <c r="AU128" s="295" t="str">
        <f t="shared" si="50"/>
        <v/>
      </c>
      <c r="AV128" s="295" t="str">
        <f t="shared" si="50"/>
        <v/>
      </c>
      <c r="AW128" s="295" t="str">
        <f t="shared" si="50"/>
        <v/>
      </c>
      <c r="AX128" s="295" t="str">
        <f t="shared" si="50"/>
        <v/>
      </c>
      <c r="AY128" s="295" t="str">
        <f t="shared" si="50"/>
        <v/>
      </c>
      <c r="AZ128" s="295" t="str">
        <f t="shared" si="50"/>
        <v/>
      </c>
      <c r="BA128" s="296" t="str">
        <f t="shared" si="50"/>
        <v/>
      </c>
    </row>
    <row r="129" spans="1:53" s="246" customFormat="1">
      <c r="A129" s="244"/>
      <c r="B129" s="244"/>
      <c r="C129" s="311"/>
      <c r="D129" s="311"/>
      <c r="E129" s="28"/>
      <c r="F129" s="28"/>
      <c r="G129" s="28"/>
      <c r="H129" s="28"/>
      <c r="I129" s="28"/>
      <c r="J129" s="312"/>
      <c r="K129" s="312"/>
      <c r="L129" s="312"/>
      <c r="M129" s="312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246" customFormat="1" ht="15">
      <c r="A130" s="244"/>
      <c r="B130" s="244"/>
      <c r="C130" s="1"/>
      <c r="D130" s="313"/>
      <c r="E130" s="224" t="s">
        <v>594</v>
      </c>
      <c r="F130" s="224"/>
      <c r="G130" s="224"/>
      <c r="H130" s="224"/>
      <c r="I130" s="224"/>
      <c r="J130" s="314"/>
      <c r="K130" s="314"/>
      <c r="L130" s="314"/>
      <c r="M130" s="312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246" customFormat="1" outlineLevel="1">
      <c r="A131" s="244"/>
      <c r="B131" s="244"/>
      <c r="C131" s="315"/>
      <c r="D131" s="315"/>
      <c r="E131" s="316" t="s">
        <v>157</v>
      </c>
      <c r="F131" s="312"/>
      <c r="G131" s="312"/>
      <c r="H131" s="312"/>
      <c r="I131" s="312"/>
      <c r="J131" s="312"/>
      <c r="K131" s="312"/>
      <c r="L131" s="312"/>
      <c r="M131" s="312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246" customFormat="1" outlineLevel="1">
      <c r="A132" s="244"/>
      <c r="B132" s="244"/>
      <c r="C132" s="315"/>
      <c r="D132" s="315"/>
      <c r="E132" s="317" t="s">
        <v>158</v>
      </c>
      <c r="F132" s="312"/>
      <c r="G132" s="312"/>
      <c r="H132" s="312"/>
      <c r="I132" s="312"/>
      <c r="J132" s="312"/>
      <c r="K132" s="312"/>
      <c r="L132" s="312"/>
      <c r="M132" s="312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246" customFormat="1" outlineLevel="1">
      <c r="A133" s="244"/>
      <c r="B133" s="244"/>
      <c r="C133" s="315"/>
      <c r="D133" s="315"/>
      <c r="E133" s="318" t="s">
        <v>148</v>
      </c>
      <c r="F133" s="312"/>
      <c r="G133" s="312"/>
      <c r="H133" s="312"/>
      <c r="I133" s="312"/>
      <c r="J133" s="312"/>
      <c r="K133" s="312"/>
      <c r="L133" s="312"/>
      <c r="M133" s="312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246" customFormat="1" outlineLevel="1">
      <c r="A134" s="244"/>
      <c r="B134" s="244"/>
      <c r="C134" s="315"/>
      <c r="D134" s="315"/>
      <c r="E134" s="319" t="s">
        <v>533</v>
      </c>
      <c r="F134" s="312"/>
      <c r="G134" s="312"/>
      <c r="H134" s="312"/>
      <c r="I134" s="312"/>
      <c r="J134" s="312"/>
      <c r="K134" s="312"/>
      <c r="L134" s="312"/>
      <c r="M134" s="312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246" customFormat="1" outlineLevel="1">
      <c r="A135" s="244"/>
      <c r="B135" s="244"/>
      <c r="C135" s="320"/>
      <c r="D135" s="320"/>
      <c r="E135" s="321" t="s">
        <v>162</v>
      </c>
      <c r="F135" s="312"/>
      <c r="G135" s="312"/>
      <c r="H135" s="312"/>
      <c r="I135" s="312"/>
      <c r="J135" s="312"/>
      <c r="K135" s="312"/>
      <c r="L135" s="312"/>
      <c r="M135" s="312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246" customFormat="1" ht="27" outlineLevel="1">
      <c r="A136" s="244"/>
      <c r="B136" s="244"/>
      <c r="C136" s="47" t="s">
        <v>104</v>
      </c>
      <c r="D136" s="120" t="s">
        <v>385</v>
      </c>
      <c r="E136" s="322" t="s">
        <v>673</v>
      </c>
      <c r="F136" s="323" t="s">
        <v>27</v>
      </c>
      <c r="G136" s="55" t="s">
        <v>27</v>
      </c>
      <c r="H136" s="55" t="s">
        <v>27</v>
      </c>
      <c r="I136" s="55" t="s">
        <v>27</v>
      </c>
      <c r="J136" s="55" t="s">
        <v>27</v>
      </c>
      <c r="K136" s="55" t="s">
        <v>27</v>
      </c>
      <c r="L136" s="55" t="s">
        <v>27</v>
      </c>
      <c r="M136" s="324" t="s">
        <v>27</v>
      </c>
      <c r="N136" s="325" t="str">
        <f t="shared" ref="N136:BA136" si="51">IF(ROUND(N61,2)&gt;=0,"TAK","NIE")</f>
        <v>TAK</v>
      </c>
      <c r="O136" s="45" t="str">
        <f t="shared" si="51"/>
        <v>TAK</v>
      </c>
      <c r="P136" s="45" t="str">
        <f t="shared" si="51"/>
        <v>TAK</v>
      </c>
      <c r="Q136" s="45" t="str">
        <f t="shared" si="51"/>
        <v>TAK</v>
      </c>
      <c r="R136" s="45" t="str">
        <f t="shared" si="51"/>
        <v>TAK</v>
      </c>
      <c r="S136" s="45" t="str">
        <f t="shared" si="51"/>
        <v>TAK</v>
      </c>
      <c r="T136" s="45" t="str">
        <f t="shared" si="51"/>
        <v>TAK</v>
      </c>
      <c r="U136" s="45" t="str">
        <f t="shared" si="51"/>
        <v>TAK</v>
      </c>
      <c r="V136" s="45" t="str">
        <f t="shared" si="51"/>
        <v>TAK</v>
      </c>
      <c r="W136" s="45" t="str">
        <f t="shared" si="51"/>
        <v>TAK</v>
      </c>
      <c r="X136" s="45" t="str">
        <f t="shared" si="51"/>
        <v>TAK</v>
      </c>
      <c r="Y136" s="45" t="str">
        <f t="shared" si="51"/>
        <v>TAK</v>
      </c>
      <c r="Z136" s="45" t="str">
        <f t="shared" si="51"/>
        <v>TAK</v>
      </c>
      <c r="AA136" s="45" t="str">
        <f t="shared" si="51"/>
        <v>TAK</v>
      </c>
      <c r="AB136" s="45" t="str">
        <f t="shared" si="51"/>
        <v>TAK</v>
      </c>
      <c r="AC136" s="45" t="str">
        <f t="shared" si="51"/>
        <v>TAK</v>
      </c>
      <c r="AD136" s="45" t="str">
        <f t="shared" si="51"/>
        <v>TAK</v>
      </c>
      <c r="AE136" s="45" t="str">
        <f t="shared" si="51"/>
        <v>TAK</v>
      </c>
      <c r="AF136" s="45" t="str">
        <f t="shared" si="51"/>
        <v>TAK</v>
      </c>
      <c r="AG136" s="45" t="str">
        <f t="shared" si="51"/>
        <v>TAK</v>
      </c>
      <c r="AH136" s="45" t="str">
        <f t="shared" si="51"/>
        <v>TAK</v>
      </c>
      <c r="AI136" s="45" t="str">
        <f t="shared" si="51"/>
        <v>TAK</v>
      </c>
      <c r="AJ136" s="45" t="str">
        <f t="shared" si="51"/>
        <v>TAK</v>
      </c>
      <c r="AK136" s="45" t="str">
        <f t="shared" si="51"/>
        <v>TAK</v>
      </c>
      <c r="AL136" s="45" t="str">
        <f t="shared" si="51"/>
        <v>TAK</v>
      </c>
      <c r="AM136" s="45" t="str">
        <f t="shared" si="51"/>
        <v>TAK</v>
      </c>
      <c r="AN136" s="45" t="str">
        <f t="shared" si="51"/>
        <v>TAK</v>
      </c>
      <c r="AO136" s="45" t="str">
        <f t="shared" si="51"/>
        <v>TAK</v>
      </c>
      <c r="AP136" s="45" t="str">
        <f t="shared" si="51"/>
        <v>TAK</v>
      </c>
      <c r="AQ136" s="45" t="str">
        <f t="shared" si="51"/>
        <v>TAK</v>
      </c>
      <c r="AR136" s="45" t="str">
        <f t="shared" si="51"/>
        <v>TAK</v>
      </c>
      <c r="AS136" s="45" t="str">
        <f t="shared" si="51"/>
        <v>TAK</v>
      </c>
      <c r="AT136" s="45" t="str">
        <f t="shared" si="51"/>
        <v>TAK</v>
      </c>
      <c r="AU136" s="45" t="str">
        <f t="shared" si="51"/>
        <v>TAK</v>
      </c>
      <c r="AV136" s="45" t="str">
        <f t="shared" si="51"/>
        <v>TAK</v>
      </c>
      <c r="AW136" s="45" t="str">
        <f t="shared" si="51"/>
        <v>TAK</v>
      </c>
      <c r="AX136" s="45" t="str">
        <f t="shared" si="51"/>
        <v>TAK</v>
      </c>
      <c r="AY136" s="45" t="str">
        <f t="shared" si="51"/>
        <v>TAK</v>
      </c>
      <c r="AZ136" s="45" t="str">
        <f t="shared" si="51"/>
        <v>TAK</v>
      </c>
      <c r="BA136" s="46" t="str">
        <f t="shared" si="51"/>
        <v>TAK</v>
      </c>
    </row>
    <row r="137" spans="1:53" s="246" customFormat="1" outlineLevel="1">
      <c r="A137" s="244"/>
      <c r="B137" s="244"/>
      <c r="C137" s="241" t="s">
        <v>103</v>
      </c>
      <c r="D137" s="121" t="s">
        <v>103</v>
      </c>
      <c r="E137" s="240" t="s">
        <v>145</v>
      </c>
      <c r="F137" s="326" t="s">
        <v>27</v>
      </c>
      <c r="G137" s="242" t="s">
        <v>27</v>
      </c>
      <c r="H137" s="242" t="s">
        <v>27</v>
      </c>
      <c r="I137" s="242" t="s">
        <v>27</v>
      </c>
      <c r="J137" s="242" t="s">
        <v>27</v>
      </c>
      <c r="K137" s="242" t="s">
        <v>27</v>
      </c>
      <c r="L137" s="242" t="s">
        <v>27</v>
      </c>
      <c r="M137" s="327" t="s">
        <v>27</v>
      </c>
      <c r="N137" s="328" t="str">
        <f t="shared" ref="N137:BA137" si="52">IF(ROUND(N10+N35-N21-N46,2)=0,"OK",ROUND(N10+N35-N21-N46,2))</f>
        <v>OK</v>
      </c>
      <c r="O137" s="329" t="str">
        <f t="shared" si="52"/>
        <v>OK</v>
      </c>
      <c r="P137" s="329" t="str">
        <f t="shared" si="52"/>
        <v>OK</v>
      </c>
      <c r="Q137" s="329" t="str">
        <f t="shared" si="52"/>
        <v>OK</v>
      </c>
      <c r="R137" s="329" t="str">
        <f t="shared" si="52"/>
        <v>OK</v>
      </c>
      <c r="S137" s="329" t="str">
        <f t="shared" si="52"/>
        <v>OK</v>
      </c>
      <c r="T137" s="329" t="str">
        <f t="shared" si="52"/>
        <v>OK</v>
      </c>
      <c r="U137" s="329" t="str">
        <f t="shared" si="52"/>
        <v>OK</v>
      </c>
      <c r="V137" s="329" t="str">
        <f t="shared" si="52"/>
        <v>OK</v>
      </c>
      <c r="W137" s="329" t="str">
        <f t="shared" si="52"/>
        <v>OK</v>
      </c>
      <c r="X137" s="329" t="str">
        <f t="shared" si="52"/>
        <v>OK</v>
      </c>
      <c r="Y137" s="329" t="str">
        <f t="shared" si="52"/>
        <v>OK</v>
      </c>
      <c r="Z137" s="329" t="str">
        <f t="shared" si="52"/>
        <v>OK</v>
      </c>
      <c r="AA137" s="329" t="str">
        <f t="shared" si="52"/>
        <v>OK</v>
      </c>
      <c r="AB137" s="329" t="str">
        <f t="shared" si="52"/>
        <v>OK</v>
      </c>
      <c r="AC137" s="329" t="str">
        <f t="shared" si="52"/>
        <v>OK</v>
      </c>
      <c r="AD137" s="329" t="str">
        <f t="shared" si="52"/>
        <v>OK</v>
      </c>
      <c r="AE137" s="329" t="str">
        <f t="shared" si="52"/>
        <v>OK</v>
      </c>
      <c r="AF137" s="329" t="str">
        <f t="shared" si="52"/>
        <v>OK</v>
      </c>
      <c r="AG137" s="329" t="str">
        <f t="shared" si="52"/>
        <v>OK</v>
      </c>
      <c r="AH137" s="329" t="str">
        <f t="shared" si="52"/>
        <v>OK</v>
      </c>
      <c r="AI137" s="329" t="str">
        <f t="shared" si="52"/>
        <v>OK</v>
      </c>
      <c r="AJ137" s="329" t="str">
        <f t="shared" si="52"/>
        <v>OK</v>
      </c>
      <c r="AK137" s="329" t="str">
        <f t="shared" si="52"/>
        <v>OK</v>
      </c>
      <c r="AL137" s="329" t="str">
        <f t="shared" si="52"/>
        <v>OK</v>
      </c>
      <c r="AM137" s="329" t="str">
        <f t="shared" si="52"/>
        <v>OK</v>
      </c>
      <c r="AN137" s="329" t="str">
        <f t="shared" si="52"/>
        <v>OK</v>
      </c>
      <c r="AO137" s="329" t="str">
        <f t="shared" si="52"/>
        <v>OK</v>
      </c>
      <c r="AP137" s="329" t="str">
        <f t="shared" si="52"/>
        <v>OK</v>
      </c>
      <c r="AQ137" s="329" t="str">
        <f t="shared" si="52"/>
        <v>OK</v>
      </c>
      <c r="AR137" s="329" t="str">
        <f t="shared" si="52"/>
        <v>OK</v>
      </c>
      <c r="AS137" s="329" t="str">
        <f t="shared" si="52"/>
        <v>OK</v>
      </c>
      <c r="AT137" s="329" t="str">
        <f t="shared" si="52"/>
        <v>OK</v>
      </c>
      <c r="AU137" s="329" t="str">
        <f t="shared" si="52"/>
        <v>OK</v>
      </c>
      <c r="AV137" s="329" t="str">
        <f t="shared" si="52"/>
        <v>OK</v>
      </c>
      <c r="AW137" s="329" t="str">
        <f t="shared" si="52"/>
        <v>OK</v>
      </c>
      <c r="AX137" s="329" t="str">
        <f t="shared" si="52"/>
        <v>OK</v>
      </c>
      <c r="AY137" s="329" t="str">
        <f t="shared" si="52"/>
        <v>OK</v>
      </c>
      <c r="AZ137" s="329" t="str">
        <f t="shared" si="52"/>
        <v>OK</v>
      </c>
      <c r="BA137" s="330" t="str">
        <f t="shared" si="52"/>
        <v>OK</v>
      </c>
    </row>
    <row r="138" spans="1:53" s="246" customFormat="1" outlineLevel="1">
      <c r="A138" s="244"/>
      <c r="B138" s="244"/>
      <c r="C138" s="235" t="s">
        <v>163</v>
      </c>
      <c r="D138" s="122" t="s">
        <v>384</v>
      </c>
      <c r="E138" s="240" t="s">
        <v>595</v>
      </c>
      <c r="F138" s="326" t="s">
        <v>27</v>
      </c>
      <c r="G138" s="331" t="str">
        <f t="shared" ref="G138:L138" si="53">+IF(ROUND(F57+G36-G47+(G58-F58)+G105-G57,2)=0,"OK",ROUND(F57+G36-G47+(G58-F58)+G105-G57,2))</f>
        <v>OK</v>
      </c>
      <c r="H138" s="331" t="str">
        <f t="shared" si="53"/>
        <v>OK</v>
      </c>
      <c r="I138" s="331" t="str">
        <f t="shared" si="53"/>
        <v>OK</v>
      </c>
      <c r="J138" s="331">
        <f t="shared" si="53"/>
        <v>-11915000</v>
      </c>
      <c r="K138" s="331" t="str">
        <f t="shared" si="53"/>
        <v>OK</v>
      </c>
      <c r="L138" s="331" t="str">
        <f t="shared" si="53"/>
        <v>OK</v>
      </c>
      <c r="M138" s="332" t="str">
        <f>+IF(ROUND(K57+M36-M47+(M58-K58)+M105-M57,2)=0,"OK",ROUND(K57+M36-M47+(M58-K58)+M105-M57,2))</f>
        <v>OK</v>
      </c>
      <c r="N138" s="328" t="str">
        <f t="shared" ref="N138:BA138" si="54">+IF(ROUND(M57+N36-N47+(N58-M58)+N105-N57,2)=0,"OK",ROUND(M57+N36-N47+(N58-M58)+N105-N57,2))</f>
        <v>OK</v>
      </c>
      <c r="O138" s="329" t="str">
        <f t="shared" si="54"/>
        <v>OK</v>
      </c>
      <c r="P138" s="329" t="str">
        <f t="shared" si="54"/>
        <v>OK</v>
      </c>
      <c r="Q138" s="329" t="str">
        <f t="shared" si="54"/>
        <v>OK</v>
      </c>
      <c r="R138" s="329" t="str">
        <f t="shared" si="54"/>
        <v>OK</v>
      </c>
      <c r="S138" s="329" t="str">
        <f t="shared" si="54"/>
        <v>OK</v>
      </c>
      <c r="T138" s="329" t="str">
        <f t="shared" si="54"/>
        <v>OK</v>
      </c>
      <c r="U138" s="329" t="str">
        <f t="shared" si="54"/>
        <v>OK</v>
      </c>
      <c r="V138" s="329" t="str">
        <f t="shared" si="54"/>
        <v>OK</v>
      </c>
      <c r="W138" s="329" t="str">
        <f t="shared" si="54"/>
        <v>OK</v>
      </c>
      <c r="X138" s="329" t="str">
        <f t="shared" si="54"/>
        <v>OK</v>
      </c>
      <c r="Y138" s="329" t="str">
        <f t="shared" si="54"/>
        <v>OK</v>
      </c>
      <c r="Z138" s="329" t="str">
        <f t="shared" si="54"/>
        <v>OK</v>
      </c>
      <c r="AA138" s="329" t="str">
        <f t="shared" si="54"/>
        <v>OK</v>
      </c>
      <c r="AB138" s="329" t="str">
        <f t="shared" si="54"/>
        <v>OK</v>
      </c>
      <c r="AC138" s="329" t="str">
        <f t="shared" si="54"/>
        <v>OK</v>
      </c>
      <c r="AD138" s="329" t="str">
        <f t="shared" si="54"/>
        <v>OK</v>
      </c>
      <c r="AE138" s="329" t="str">
        <f t="shared" si="54"/>
        <v>OK</v>
      </c>
      <c r="AF138" s="329" t="str">
        <f t="shared" si="54"/>
        <v>OK</v>
      </c>
      <c r="AG138" s="329" t="str">
        <f t="shared" si="54"/>
        <v>OK</v>
      </c>
      <c r="AH138" s="329" t="str">
        <f t="shared" si="54"/>
        <v>OK</v>
      </c>
      <c r="AI138" s="329" t="str">
        <f t="shared" si="54"/>
        <v>OK</v>
      </c>
      <c r="AJ138" s="329" t="str">
        <f t="shared" si="54"/>
        <v>OK</v>
      </c>
      <c r="AK138" s="329" t="str">
        <f t="shared" si="54"/>
        <v>OK</v>
      </c>
      <c r="AL138" s="329" t="str">
        <f t="shared" si="54"/>
        <v>OK</v>
      </c>
      <c r="AM138" s="329" t="str">
        <f t="shared" si="54"/>
        <v>OK</v>
      </c>
      <c r="AN138" s="329" t="str">
        <f t="shared" si="54"/>
        <v>OK</v>
      </c>
      <c r="AO138" s="329" t="str">
        <f t="shared" si="54"/>
        <v>OK</v>
      </c>
      <c r="AP138" s="329" t="str">
        <f t="shared" si="54"/>
        <v>OK</v>
      </c>
      <c r="AQ138" s="329" t="str">
        <f t="shared" si="54"/>
        <v>OK</v>
      </c>
      <c r="AR138" s="329" t="str">
        <f t="shared" si="54"/>
        <v>OK</v>
      </c>
      <c r="AS138" s="329" t="str">
        <f t="shared" si="54"/>
        <v>OK</v>
      </c>
      <c r="AT138" s="329" t="str">
        <f t="shared" si="54"/>
        <v>OK</v>
      </c>
      <c r="AU138" s="329" t="str">
        <f t="shared" si="54"/>
        <v>OK</v>
      </c>
      <c r="AV138" s="329" t="str">
        <f t="shared" si="54"/>
        <v>OK</v>
      </c>
      <c r="AW138" s="329" t="str">
        <f t="shared" si="54"/>
        <v>OK</v>
      </c>
      <c r="AX138" s="329" t="str">
        <f t="shared" si="54"/>
        <v>OK</v>
      </c>
      <c r="AY138" s="329" t="str">
        <f t="shared" si="54"/>
        <v>OK</v>
      </c>
      <c r="AZ138" s="329" t="str">
        <f t="shared" si="54"/>
        <v>OK</v>
      </c>
      <c r="BA138" s="330" t="str">
        <f t="shared" si="54"/>
        <v>OK</v>
      </c>
    </row>
    <row r="139" spans="1:53" s="246" customFormat="1" ht="54" outlineLevel="1">
      <c r="A139" s="244"/>
      <c r="B139" s="244"/>
      <c r="C139" s="235" t="s">
        <v>164</v>
      </c>
      <c r="D139" s="122" t="s">
        <v>406</v>
      </c>
      <c r="E139" s="240" t="s">
        <v>559</v>
      </c>
      <c r="F139" s="333" t="s">
        <v>27</v>
      </c>
      <c r="G139" s="242" t="s">
        <v>27</v>
      </c>
      <c r="H139" s="242" t="s">
        <v>27</v>
      </c>
      <c r="I139" s="242" t="s">
        <v>27</v>
      </c>
      <c r="J139" s="242" t="s">
        <v>27</v>
      </c>
      <c r="K139" s="242" t="s">
        <v>27</v>
      </c>
      <c r="L139" s="242" t="s">
        <v>27</v>
      </c>
      <c r="M139" s="327" t="s">
        <v>27</v>
      </c>
      <c r="N139" s="328" t="str">
        <f t="shared" ref="N139:BA139" si="55">+IF(ROUND(N58+N99-M58,2)=0,"OK",ROUND(N58+N99-M58,2))</f>
        <v>OK</v>
      </c>
      <c r="O139" s="329" t="str">
        <f t="shared" si="55"/>
        <v>OK</v>
      </c>
      <c r="P139" s="329" t="str">
        <f t="shared" si="55"/>
        <v>OK</v>
      </c>
      <c r="Q139" s="329" t="str">
        <f t="shared" si="55"/>
        <v>OK</v>
      </c>
      <c r="R139" s="329" t="str">
        <f t="shared" si="55"/>
        <v>OK</v>
      </c>
      <c r="S139" s="329" t="str">
        <f t="shared" si="55"/>
        <v>OK</v>
      </c>
      <c r="T139" s="329" t="str">
        <f t="shared" si="55"/>
        <v>OK</v>
      </c>
      <c r="U139" s="329" t="str">
        <f t="shared" si="55"/>
        <v>OK</v>
      </c>
      <c r="V139" s="329" t="str">
        <f t="shared" si="55"/>
        <v>OK</v>
      </c>
      <c r="W139" s="329" t="str">
        <f t="shared" si="55"/>
        <v>OK</v>
      </c>
      <c r="X139" s="329" t="str">
        <f t="shared" si="55"/>
        <v>OK</v>
      </c>
      <c r="Y139" s="329" t="str">
        <f t="shared" si="55"/>
        <v>OK</v>
      </c>
      <c r="Z139" s="329" t="str">
        <f t="shared" si="55"/>
        <v>OK</v>
      </c>
      <c r="AA139" s="329" t="str">
        <f t="shared" si="55"/>
        <v>OK</v>
      </c>
      <c r="AB139" s="329" t="str">
        <f t="shared" si="55"/>
        <v>OK</v>
      </c>
      <c r="AC139" s="329" t="str">
        <f t="shared" si="55"/>
        <v>OK</v>
      </c>
      <c r="AD139" s="329" t="str">
        <f t="shared" si="55"/>
        <v>OK</v>
      </c>
      <c r="AE139" s="329" t="str">
        <f t="shared" si="55"/>
        <v>OK</v>
      </c>
      <c r="AF139" s="329" t="str">
        <f t="shared" si="55"/>
        <v>OK</v>
      </c>
      <c r="AG139" s="329" t="str">
        <f t="shared" si="55"/>
        <v>OK</v>
      </c>
      <c r="AH139" s="329" t="str">
        <f t="shared" si="55"/>
        <v>OK</v>
      </c>
      <c r="AI139" s="329" t="str">
        <f t="shared" si="55"/>
        <v>OK</v>
      </c>
      <c r="AJ139" s="329" t="str">
        <f t="shared" si="55"/>
        <v>OK</v>
      </c>
      <c r="AK139" s="329" t="str">
        <f t="shared" si="55"/>
        <v>OK</v>
      </c>
      <c r="AL139" s="329" t="str">
        <f t="shared" si="55"/>
        <v>OK</v>
      </c>
      <c r="AM139" s="329" t="str">
        <f t="shared" si="55"/>
        <v>OK</v>
      </c>
      <c r="AN139" s="329" t="str">
        <f t="shared" si="55"/>
        <v>OK</v>
      </c>
      <c r="AO139" s="329" t="str">
        <f t="shared" si="55"/>
        <v>OK</v>
      </c>
      <c r="AP139" s="329" t="str">
        <f t="shared" si="55"/>
        <v>OK</v>
      </c>
      <c r="AQ139" s="329" t="str">
        <f t="shared" si="55"/>
        <v>OK</v>
      </c>
      <c r="AR139" s="329" t="str">
        <f t="shared" si="55"/>
        <v>OK</v>
      </c>
      <c r="AS139" s="329" t="str">
        <f t="shared" si="55"/>
        <v>OK</v>
      </c>
      <c r="AT139" s="329" t="str">
        <f t="shared" si="55"/>
        <v>OK</v>
      </c>
      <c r="AU139" s="329" t="str">
        <f t="shared" si="55"/>
        <v>OK</v>
      </c>
      <c r="AV139" s="329" t="str">
        <f t="shared" si="55"/>
        <v>OK</v>
      </c>
      <c r="AW139" s="329" t="str">
        <f t="shared" si="55"/>
        <v>OK</v>
      </c>
      <c r="AX139" s="329" t="str">
        <f t="shared" si="55"/>
        <v>OK</v>
      </c>
      <c r="AY139" s="329" t="str">
        <f t="shared" si="55"/>
        <v>OK</v>
      </c>
      <c r="AZ139" s="329" t="str">
        <f t="shared" si="55"/>
        <v>OK</v>
      </c>
      <c r="BA139" s="330" t="str">
        <f t="shared" si="55"/>
        <v>OK</v>
      </c>
    </row>
    <row r="140" spans="1:53" s="246" customFormat="1" ht="40.5" outlineLevel="1">
      <c r="A140" s="244"/>
      <c r="B140" s="244"/>
      <c r="C140" s="241" t="s">
        <v>119</v>
      </c>
      <c r="D140" s="121" t="s">
        <v>416</v>
      </c>
      <c r="E140" s="240" t="s">
        <v>530</v>
      </c>
      <c r="F140" s="326" t="s">
        <v>27</v>
      </c>
      <c r="G140" s="242" t="s">
        <v>27</v>
      </c>
      <c r="H140" s="242" t="s">
        <v>27</v>
      </c>
      <c r="I140" s="242" t="s">
        <v>27</v>
      </c>
      <c r="J140" s="242" t="s">
        <v>27</v>
      </c>
      <c r="K140" s="242" t="s">
        <v>27</v>
      </c>
      <c r="L140" s="242" t="s">
        <v>27</v>
      </c>
      <c r="M140" s="327" t="s">
        <v>27</v>
      </c>
      <c r="N140" s="328" t="str">
        <f t="shared" ref="N140:BA140" si="56">IF(ROUND(N99-SUM(N100:N101,N104),2)=0,"OK",ROUND(N99-SUM(N100:N101,N104),2))</f>
        <v>OK</v>
      </c>
      <c r="O140" s="43" t="str">
        <f t="shared" si="56"/>
        <v>OK</v>
      </c>
      <c r="P140" s="43" t="str">
        <f t="shared" si="56"/>
        <v>OK</v>
      </c>
      <c r="Q140" s="43" t="str">
        <f t="shared" si="56"/>
        <v>OK</v>
      </c>
      <c r="R140" s="43" t="str">
        <f t="shared" si="56"/>
        <v>OK</v>
      </c>
      <c r="S140" s="43" t="str">
        <f t="shared" si="56"/>
        <v>OK</v>
      </c>
      <c r="T140" s="43" t="str">
        <f t="shared" si="56"/>
        <v>OK</v>
      </c>
      <c r="U140" s="43" t="str">
        <f t="shared" si="56"/>
        <v>OK</v>
      </c>
      <c r="V140" s="43" t="str">
        <f t="shared" si="56"/>
        <v>OK</v>
      </c>
      <c r="W140" s="43" t="str">
        <f t="shared" si="56"/>
        <v>OK</v>
      </c>
      <c r="X140" s="43" t="str">
        <f t="shared" si="56"/>
        <v>OK</v>
      </c>
      <c r="Y140" s="43" t="str">
        <f t="shared" si="56"/>
        <v>OK</v>
      </c>
      <c r="Z140" s="43" t="str">
        <f t="shared" si="56"/>
        <v>OK</v>
      </c>
      <c r="AA140" s="43" t="str">
        <f t="shared" si="56"/>
        <v>OK</v>
      </c>
      <c r="AB140" s="43" t="str">
        <f t="shared" si="56"/>
        <v>OK</v>
      </c>
      <c r="AC140" s="43" t="str">
        <f t="shared" si="56"/>
        <v>OK</v>
      </c>
      <c r="AD140" s="43" t="str">
        <f t="shared" si="56"/>
        <v>OK</v>
      </c>
      <c r="AE140" s="43" t="str">
        <f t="shared" si="56"/>
        <v>OK</v>
      </c>
      <c r="AF140" s="43" t="str">
        <f t="shared" si="56"/>
        <v>OK</v>
      </c>
      <c r="AG140" s="43" t="str">
        <f t="shared" si="56"/>
        <v>OK</v>
      </c>
      <c r="AH140" s="43" t="str">
        <f t="shared" si="56"/>
        <v>OK</v>
      </c>
      <c r="AI140" s="43" t="str">
        <f t="shared" si="56"/>
        <v>OK</v>
      </c>
      <c r="AJ140" s="43" t="str">
        <f t="shared" si="56"/>
        <v>OK</v>
      </c>
      <c r="AK140" s="43" t="str">
        <f t="shared" si="56"/>
        <v>OK</v>
      </c>
      <c r="AL140" s="43" t="str">
        <f t="shared" si="56"/>
        <v>OK</v>
      </c>
      <c r="AM140" s="43" t="str">
        <f t="shared" si="56"/>
        <v>OK</v>
      </c>
      <c r="AN140" s="43" t="str">
        <f t="shared" si="56"/>
        <v>OK</v>
      </c>
      <c r="AO140" s="43" t="str">
        <f t="shared" si="56"/>
        <v>OK</v>
      </c>
      <c r="AP140" s="43" t="str">
        <f t="shared" si="56"/>
        <v>OK</v>
      </c>
      <c r="AQ140" s="43" t="str">
        <f t="shared" si="56"/>
        <v>OK</v>
      </c>
      <c r="AR140" s="43" t="str">
        <f t="shared" si="56"/>
        <v>OK</v>
      </c>
      <c r="AS140" s="43" t="str">
        <f t="shared" si="56"/>
        <v>OK</v>
      </c>
      <c r="AT140" s="43" t="str">
        <f t="shared" si="56"/>
        <v>OK</v>
      </c>
      <c r="AU140" s="43" t="str">
        <f t="shared" si="56"/>
        <v>OK</v>
      </c>
      <c r="AV140" s="43" t="str">
        <f t="shared" si="56"/>
        <v>OK</v>
      </c>
      <c r="AW140" s="43" t="str">
        <f t="shared" si="56"/>
        <v>OK</v>
      </c>
      <c r="AX140" s="43" t="str">
        <f t="shared" si="56"/>
        <v>OK</v>
      </c>
      <c r="AY140" s="43" t="str">
        <f t="shared" si="56"/>
        <v>OK</v>
      </c>
      <c r="AZ140" s="43" t="str">
        <f t="shared" si="56"/>
        <v>OK</v>
      </c>
      <c r="BA140" s="44" t="str">
        <f t="shared" si="56"/>
        <v>OK</v>
      </c>
    </row>
    <row r="141" spans="1:53" s="246" customFormat="1" outlineLevel="1">
      <c r="A141" s="244"/>
      <c r="B141" s="244"/>
      <c r="C141" s="241" t="s">
        <v>119</v>
      </c>
      <c r="D141" s="121" t="s">
        <v>417</v>
      </c>
      <c r="E141" s="245" t="s">
        <v>446</v>
      </c>
      <c r="F141" s="326" t="s">
        <v>27</v>
      </c>
      <c r="G141" s="242" t="s">
        <v>27</v>
      </c>
      <c r="H141" s="242" t="s">
        <v>27</v>
      </c>
      <c r="I141" s="242" t="s">
        <v>27</v>
      </c>
      <c r="J141" s="242" t="s">
        <v>27</v>
      </c>
      <c r="K141" s="242" t="s">
        <v>27</v>
      </c>
      <c r="L141" s="242" t="s">
        <v>27</v>
      </c>
      <c r="M141" s="327" t="s">
        <v>27</v>
      </c>
      <c r="N141" s="334" t="str">
        <f t="shared" ref="N141:BA142" si="57">IF(N101&gt;=N102,"OK","BŁĄD")</f>
        <v>OK</v>
      </c>
      <c r="O141" s="43" t="str">
        <f t="shared" si="57"/>
        <v>OK</v>
      </c>
      <c r="P141" s="43" t="str">
        <f t="shared" si="57"/>
        <v>OK</v>
      </c>
      <c r="Q141" s="43" t="str">
        <f t="shared" si="57"/>
        <v>OK</v>
      </c>
      <c r="R141" s="43" t="str">
        <f t="shared" si="57"/>
        <v>OK</v>
      </c>
      <c r="S141" s="43" t="str">
        <f t="shared" si="57"/>
        <v>OK</v>
      </c>
      <c r="T141" s="43" t="str">
        <f t="shared" si="57"/>
        <v>OK</v>
      </c>
      <c r="U141" s="43" t="str">
        <f t="shared" si="57"/>
        <v>OK</v>
      </c>
      <c r="V141" s="43" t="str">
        <f t="shared" si="57"/>
        <v>OK</v>
      </c>
      <c r="W141" s="43" t="str">
        <f t="shared" si="57"/>
        <v>OK</v>
      </c>
      <c r="X141" s="43" t="str">
        <f t="shared" si="57"/>
        <v>OK</v>
      </c>
      <c r="Y141" s="43" t="str">
        <f t="shared" si="57"/>
        <v>OK</v>
      </c>
      <c r="Z141" s="43" t="str">
        <f t="shared" si="57"/>
        <v>OK</v>
      </c>
      <c r="AA141" s="43" t="str">
        <f t="shared" si="57"/>
        <v>OK</v>
      </c>
      <c r="AB141" s="43" t="str">
        <f t="shared" si="57"/>
        <v>OK</v>
      </c>
      <c r="AC141" s="43" t="str">
        <f t="shared" si="57"/>
        <v>OK</v>
      </c>
      <c r="AD141" s="43" t="str">
        <f t="shared" si="57"/>
        <v>OK</v>
      </c>
      <c r="AE141" s="43" t="str">
        <f t="shared" si="57"/>
        <v>OK</v>
      </c>
      <c r="AF141" s="43" t="str">
        <f t="shared" si="57"/>
        <v>OK</v>
      </c>
      <c r="AG141" s="43" t="str">
        <f t="shared" si="57"/>
        <v>OK</v>
      </c>
      <c r="AH141" s="43" t="str">
        <f t="shared" si="57"/>
        <v>OK</v>
      </c>
      <c r="AI141" s="43" t="str">
        <f t="shared" si="57"/>
        <v>OK</v>
      </c>
      <c r="AJ141" s="43" t="str">
        <f t="shared" si="57"/>
        <v>OK</v>
      </c>
      <c r="AK141" s="43" t="str">
        <f t="shared" si="57"/>
        <v>OK</v>
      </c>
      <c r="AL141" s="43" t="str">
        <f t="shared" si="57"/>
        <v>OK</v>
      </c>
      <c r="AM141" s="43" t="str">
        <f t="shared" si="57"/>
        <v>OK</v>
      </c>
      <c r="AN141" s="43" t="str">
        <f t="shared" si="57"/>
        <v>OK</v>
      </c>
      <c r="AO141" s="43" t="str">
        <f t="shared" si="57"/>
        <v>OK</v>
      </c>
      <c r="AP141" s="43" t="str">
        <f t="shared" si="57"/>
        <v>OK</v>
      </c>
      <c r="AQ141" s="43" t="str">
        <f t="shared" si="57"/>
        <v>OK</v>
      </c>
      <c r="AR141" s="43" t="str">
        <f t="shared" si="57"/>
        <v>OK</v>
      </c>
      <c r="AS141" s="43" t="str">
        <f t="shared" si="57"/>
        <v>OK</v>
      </c>
      <c r="AT141" s="43" t="str">
        <f t="shared" si="57"/>
        <v>OK</v>
      </c>
      <c r="AU141" s="43" t="str">
        <f t="shared" si="57"/>
        <v>OK</v>
      </c>
      <c r="AV141" s="43" t="str">
        <f t="shared" si="57"/>
        <v>OK</v>
      </c>
      <c r="AW141" s="43" t="str">
        <f t="shared" si="57"/>
        <v>OK</v>
      </c>
      <c r="AX141" s="43" t="str">
        <f t="shared" si="57"/>
        <v>OK</v>
      </c>
      <c r="AY141" s="43" t="str">
        <f t="shared" si="57"/>
        <v>OK</v>
      </c>
      <c r="AZ141" s="43" t="str">
        <f t="shared" si="57"/>
        <v>OK</v>
      </c>
      <c r="BA141" s="44" t="str">
        <f t="shared" si="57"/>
        <v>OK</v>
      </c>
    </row>
    <row r="142" spans="1:53" s="246" customFormat="1" outlineLevel="1">
      <c r="A142" s="244"/>
      <c r="B142" s="244"/>
      <c r="C142" s="241" t="s">
        <v>119</v>
      </c>
      <c r="D142" s="121" t="s">
        <v>418</v>
      </c>
      <c r="E142" s="245" t="s">
        <v>447</v>
      </c>
      <c r="F142" s="326" t="s">
        <v>27</v>
      </c>
      <c r="G142" s="242" t="s">
        <v>27</v>
      </c>
      <c r="H142" s="242" t="s">
        <v>27</v>
      </c>
      <c r="I142" s="242" t="s">
        <v>27</v>
      </c>
      <c r="J142" s="242" t="s">
        <v>27</v>
      </c>
      <c r="K142" s="242" t="s">
        <v>27</v>
      </c>
      <c r="L142" s="242" t="s">
        <v>27</v>
      </c>
      <c r="M142" s="327" t="s">
        <v>27</v>
      </c>
      <c r="N142" s="334" t="str">
        <f t="shared" si="57"/>
        <v>OK</v>
      </c>
      <c r="O142" s="43" t="str">
        <f t="shared" si="57"/>
        <v>OK</v>
      </c>
      <c r="P142" s="43" t="str">
        <f t="shared" si="57"/>
        <v>OK</v>
      </c>
      <c r="Q142" s="43" t="str">
        <f t="shared" si="57"/>
        <v>OK</v>
      </c>
      <c r="R142" s="43" t="str">
        <f t="shared" si="57"/>
        <v>OK</v>
      </c>
      <c r="S142" s="43" t="str">
        <f t="shared" si="57"/>
        <v>OK</v>
      </c>
      <c r="T142" s="43" t="str">
        <f t="shared" si="57"/>
        <v>OK</v>
      </c>
      <c r="U142" s="43" t="str">
        <f t="shared" si="57"/>
        <v>OK</v>
      </c>
      <c r="V142" s="43" t="str">
        <f t="shared" si="57"/>
        <v>OK</v>
      </c>
      <c r="W142" s="43" t="str">
        <f t="shared" si="57"/>
        <v>OK</v>
      </c>
      <c r="X142" s="43" t="str">
        <f t="shared" si="57"/>
        <v>OK</v>
      </c>
      <c r="Y142" s="43" t="str">
        <f t="shared" si="57"/>
        <v>OK</v>
      </c>
      <c r="Z142" s="43" t="str">
        <f t="shared" si="57"/>
        <v>OK</v>
      </c>
      <c r="AA142" s="43" t="str">
        <f t="shared" si="57"/>
        <v>OK</v>
      </c>
      <c r="AB142" s="43" t="str">
        <f t="shared" si="57"/>
        <v>OK</v>
      </c>
      <c r="AC142" s="43" t="str">
        <f t="shared" si="57"/>
        <v>OK</v>
      </c>
      <c r="AD142" s="43" t="str">
        <f t="shared" si="57"/>
        <v>OK</v>
      </c>
      <c r="AE142" s="43" t="str">
        <f t="shared" si="57"/>
        <v>OK</v>
      </c>
      <c r="AF142" s="43" t="str">
        <f t="shared" si="57"/>
        <v>OK</v>
      </c>
      <c r="AG142" s="43" t="str">
        <f t="shared" si="57"/>
        <v>OK</v>
      </c>
      <c r="AH142" s="43" t="str">
        <f t="shared" si="57"/>
        <v>OK</v>
      </c>
      <c r="AI142" s="43" t="str">
        <f t="shared" si="57"/>
        <v>OK</v>
      </c>
      <c r="AJ142" s="43" t="str">
        <f t="shared" si="57"/>
        <v>OK</v>
      </c>
      <c r="AK142" s="43" t="str">
        <f t="shared" si="57"/>
        <v>OK</v>
      </c>
      <c r="AL142" s="43" t="str">
        <f t="shared" si="57"/>
        <v>OK</v>
      </c>
      <c r="AM142" s="43" t="str">
        <f t="shared" si="57"/>
        <v>OK</v>
      </c>
      <c r="AN142" s="43" t="str">
        <f t="shared" si="57"/>
        <v>OK</v>
      </c>
      <c r="AO142" s="43" t="str">
        <f t="shared" si="57"/>
        <v>OK</v>
      </c>
      <c r="AP142" s="43" t="str">
        <f t="shared" si="57"/>
        <v>OK</v>
      </c>
      <c r="AQ142" s="43" t="str">
        <f t="shared" si="57"/>
        <v>OK</v>
      </c>
      <c r="AR142" s="43" t="str">
        <f t="shared" si="57"/>
        <v>OK</v>
      </c>
      <c r="AS142" s="43" t="str">
        <f t="shared" si="57"/>
        <v>OK</v>
      </c>
      <c r="AT142" s="43" t="str">
        <f t="shared" si="57"/>
        <v>OK</v>
      </c>
      <c r="AU142" s="43" t="str">
        <f t="shared" si="57"/>
        <v>OK</v>
      </c>
      <c r="AV142" s="43" t="str">
        <f t="shared" si="57"/>
        <v>OK</v>
      </c>
      <c r="AW142" s="43" t="str">
        <f t="shared" si="57"/>
        <v>OK</v>
      </c>
      <c r="AX142" s="43" t="str">
        <f t="shared" si="57"/>
        <v>OK</v>
      </c>
      <c r="AY142" s="43" t="str">
        <f t="shared" si="57"/>
        <v>OK</v>
      </c>
      <c r="AZ142" s="43" t="str">
        <f t="shared" si="57"/>
        <v>OK</v>
      </c>
      <c r="BA142" s="44" t="str">
        <f t="shared" si="57"/>
        <v>OK</v>
      </c>
    </row>
    <row r="143" spans="1:53" s="246" customFormat="1" outlineLevel="1">
      <c r="A143" s="244"/>
      <c r="B143" s="244"/>
      <c r="C143" s="241" t="s">
        <v>121</v>
      </c>
      <c r="D143" s="121" t="s">
        <v>419</v>
      </c>
      <c r="E143" s="245" t="s">
        <v>448</v>
      </c>
      <c r="F143" s="326" t="s">
        <v>27</v>
      </c>
      <c r="G143" s="242" t="s">
        <v>27</v>
      </c>
      <c r="H143" s="242" t="s">
        <v>27</v>
      </c>
      <c r="I143" s="242" t="s">
        <v>27</v>
      </c>
      <c r="J143" s="242" t="s">
        <v>27</v>
      </c>
      <c r="K143" s="242" t="s">
        <v>27</v>
      </c>
      <c r="L143" s="242" t="s">
        <v>27</v>
      </c>
      <c r="M143" s="327" t="s">
        <v>27</v>
      </c>
      <c r="N143" s="334" t="str">
        <f t="shared" ref="N143:BA143" si="58">IF(N102&gt;=N106,"OK","BŁĄD")</f>
        <v>OK</v>
      </c>
      <c r="O143" s="43" t="str">
        <f t="shared" si="58"/>
        <v>OK</v>
      </c>
      <c r="P143" s="43" t="str">
        <f t="shared" si="58"/>
        <v>OK</v>
      </c>
      <c r="Q143" s="43" t="str">
        <f t="shared" si="58"/>
        <v>OK</v>
      </c>
      <c r="R143" s="43" t="str">
        <f t="shared" si="58"/>
        <v>OK</v>
      </c>
      <c r="S143" s="43" t="str">
        <f t="shared" si="58"/>
        <v>OK</v>
      </c>
      <c r="T143" s="43" t="str">
        <f t="shared" si="58"/>
        <v>OK</v>
      </c>
      <c r="U143" s="43" t="str">
        <f t="shared" si="58"/>
        <v>OK</v>
      </c>
      <c r="V143" s="43" t="str">
        <f t="shared" si="58"/>
        <v>OK</v>
      </c>
      <c r="W143" s="43" t="str">
        <f t="shared" si="58"/>
        <v>OK</v>
      </c>
      <c r="X143" s="43" t="str">
        <f t="shared" si="58"/>
        <v>OK</v>
      </c>
      <c r="Y143" s="43" t="str">
        <f t="shared" si="58"/>
        <v>OK</v>
      </c>
      <c r="Z143" s="43" t="str">
        <f t="shared" si="58"/>
        <v>OK</v>
      </c>
      <c r="AA143" s="43" t="str">
        <f t="shared" si="58"/>
        <v>OK</v>
      </c>
      <c r="AB143" s="43" t="str">
        <f t="shared" si="58"/>
        <v>OK</v>
      </c>
      <c r="AC143" s="43" t="str">
        <f t="shared" si="58"/>
        <v>OK</v>
      </c>
      <c r="AD143" s="43" t="str">
        <f t="shared" si="58"/>
        <v>OK</v>
      </c>
      <c r="AE143" s="43" t="str">
        <f t="shared" si="58"/>
        <v>OK</v>
      </c>
      <c r="AF143" s="43" t="str">
        <f t="shared" si="58"/>
        <v>OK</v>
      </c>
      <c r="AG143" s="43" t="str">
        <f t="shared" si="58"/>
        <v>OK</v>
      </c>
      <c r="AH143" s="43" t="str">
        <f t="shared" si="58"/>
        <v>OK</v>
      </c>
      <c r="AI143" s="43" t="str">
        <f t="shared" si="58"/>
        <v>OK</v>
      </c>
      <c r="AJ143" s="43" t="str">
        <f t="shared" si="58"/>
        <v>OK</v>
      </c>
      <c r="AK143" s="43" t="str">
        <f t="shared" si="58"/>
        <v>OK</v>
      </c>
      <c r="AL143" s="43" t="str">
        <f t="shared" si="58"/>
        <v>OK</v>
      </c>
      <c r="AM143" s="43" t="str">
        <f t="shared" si="58"/>
        <v>OK</v>
      </c>
      <c r="AN143" s="43" t="str">
        <f t="shared" si="58"/>
        <v>OK</v>
      </c>
      <c r="AO143" s="43" t="str">
        <f t="shared" si="58"/>
        <v>OK</v>
      </c>
      <c r="AP143" s="43" t="str">
        <f t="shared" si="58"/>
        <v>OK</v>
      </c>
      <c r="AQ143" s="43" t="str">
        <f t="shared" si="58"/>
        <v>OK</v>
      </c>
      <c r="AR143" s="43" t="str">
        <f t="shared" si="58"/>
        <v>OK</v>
      </c>
      <c r="AS143" s="43" t="str">
        <f t="shared" si="58"/>
        <v>OK</v>
      </c>
      <c r="AT143" s="43" t="str">
        <f t="shared" si="58"/>
        <v>OK</v>
      </c>
      <c r="AU143" s="43" t="str">
        <f t="shared" si="58"/>
        <v>OK</v>
      </c>
      <c r="AV143" s="43" t="str">
        <f t="shared" si="58"/>
        <v>OK</v>
      </c>
      <c r="AW143" s="43" t="str">
        <f t="shared" si="58"/>
        <v>OK</v>
      </c>
      <c r="AX143" s="43" t="str">
        <f t="shared" si="58"/>
        <v>OK</v>
      </c>
      <c r="AY143" s="43" t="str">
        <f t="shared" si="58"/>
        <v>OK</v>
      </c>
      <c r="AZ143" s="43" t="str">
        <f t="shared" si="58"/>
        <v>OK</v>
      </c>
      <c r="BA143" s="44" t="str">
        <f t="shared" si="58"/>
        <v>OK</v>
      </c>
    </row>
    <row r="144" spans="1:53" s="246" customFormat="1" outlineLevel="1">
      <c r="A144" s="244"/>
      <c r="B144" s="244"/>
      <c r="C144" s="241" t="s">
        <v>105</v>
      </c>
      <c r="D144" s="121" t="s">
        <v>105</v>
      </c>
      <c r="E144" s="240" t="s">
        <v>146</v>
      </c>
      <c r="F144" s="326" t="s">
        <v>27</v>
      </c>
      <c r="G144" s="242" t="s">
        <v>27</v>
      </c>
      <c r="H144" s="242" t="s">
        <v>27</v>
      </c>
      <c r="I144" s="242" t="s">
        <v>27</v>
      </c>
      <c r="J144" s="242" t="s">
        <v>27</v>
      </c>
      <c r="K144" s="242" t="s">
        <v>27</v>
      </c>
      <c r="L144" s="242" t="s">
        <v>27</v>
      </c>
      <c r="M144" s="327" t="s">
        <v>27</v>
      </c>
      <c r="N144" s="328" t="str">
        <f t="shared" ref="N144:BA144" si="59">IF(N33&lt;0,IF(ROUND(N37+N39+N41+N43+N45+N33,2)=0,"OK",ROUND(N37+N39+N41+N43+N45+N33,2)),"N/D")</f>
        <v>OK</v>
      </c>
      <c r="O144" s="329" t="str">
        <f t="shared" si="59"/>
        <v>N/D</v>
      </c>
      <c r="P144" s="329" t="str">
        <f t="shared" si="59"/>
        <v>N/D</v>
      </c>
      <c r="Q144" s="329" t="str">
        <f t="shared" si="59"/>
        <v>N/D</v>
      </c>
      <c r="R144" s="329" t="str">
        <f t="shared" si="59"/>
        <v>N/D</v>
      </c>
      <c r="S144" s="329" t="str">
        <f t="shared" si="59"/>
        <v>N/D</v>
      </c>
      <c r="T144" s="329" t="str">
        <f t="shared" si="59"/>
        <v>N/D</v>
      </c>
      <c r="U144" s="329" t="str">
        <f t="shared" si="59"/>
        <v>N/D</v>
      </c>
      <c r="V144" s="329" t="str">
        <f t="shared" si="59"/>
        <v>N/D</v>
      </c>
      <c r="W144" s="329" t="str">
        <f t="shared" si="59"/>
        <v>N/D</v>
      </c>
      <c r="X144" s="329" t="str">
        <f t="shared" si="59"/>
        <v>N/D</v>
      </c>
      <c r="Y144" s="329" t="str">
        <f t="shared" si="59"/>
        <v>N/D</v>
      </c>
      <c r="Z144" s="329" t="str">
        <f t="shared" si="59"/>
        <v>N/D</v>
      </c>
      <c r="AA144" s="329" t="str">
        <f t="shared" si="59"/>
        <v>N/D</v>
      </c>
      <c r="AB144" s="329" t="str">
        <f t="shared" si="59"/>
        <v>N/D</v>
      </c>
      <c r="AC144" s="329" t="str">
        <f t="shared" si="59"/>
        <v>N/D</v>
      </c>
      <c r="AD144" s="329" t="str">
        <f t="shared" si="59"/>
        <v>N/D</v>
      </c>
      <c r="AE144" s="329" t="str">
        <f t="shared" si="59"/>
        <v>N/D</v>
      </c>
      <c r="AF144" s="329" t="str">
        <f t="shared" si="59"/>
        <v>N/D</v>
      </c>
      <c r="AG144" s="329" t="str">
        <f t="shared" si="59"/>
        <v>N/D</v>
      </c>
      <c r="AH144" s="329" t="str">
        <f t="shared" si="59"/>
        <v>N/D</v>
      </c>
      <c r="AI144" s="329" t="str">
        <f t="shared" si="59"/>
        <v>N/D</v>
      </c>
      <c r="AJ144" s="329" t="str">
        <f t="shared" si="59"/>
        <v>N/D</v>
      </c>
      <c r="AK144" s="329" t="str">
        <f t="shared" si="59"/>
        <v>N/D</v>
      </c>
      <c r="AL144" s="329" t="str">
        <f t="shared" si="59"/>
        <v>N/D</v>
      </c>
      <c r="AM144" s="329" t="str">
        <f t="shared" si="59"/>
        <v>N/D</v>
      </c>
      <c r="AN144" s="329" t="str">
        <f t="shared" si="59"/>
        <v>N/D</v>
      </c>
      <c r="AO144" s="329" t="str">
        <f t="shared" si="59"/>
        <v>N/D</v>
      </c>
      <c r="AP144" s="329" t="str">
        <f t="shared" si="59"/>
        <v>N/D</v>
      </c>
      <c r="AQ144" s="329" t="str">
        <f t="shared" si="59"/>
        <v>N/D</v>
      </c>
      <c r="AR144" s="329" t="str">
        <f t="shared" si="59"/>
        <v>N/D</v>
      </c>
      <c r="AS144" s="329" t="str">
        <f t="shared" si="59"/>
        <v>N/D</v>
      </c>
      <c r="AT144" s="329" t="str">
        <f t="shared" si="59"/>
        <v>N/D</v>
      </c>
      <c r="AU144" s="329" t="str">
        <f t="shared" si="59"/>
        <v>N/D</v>
      </c>
      <c r="AV144" s="329" t="str">
        <f t="shared" si="59"/>
        <v>N/D</v>
      </c>
      <c r="AW144" s="329" t="str">
        <f t="shared" si="59"/>
        <v>N/D</v>
      </c>
      <c r="AX144" s="329" t="str">
        <f t="shared" si="59"/>
        <v>N/D</v>
      </c>
      <c r="AY144" s="329" t="str">
        <f t="shared" si="59"/>
        <v>N/D</v>
      </c>
      <c r="AZ144" s="329" t="str">
        <f t="shared" si="59"/>
        <v>N/D</v>
      </c>
      <c r="BA144" s="330" t="str">
        <f t="shared" si="59"/>
        <v>N/D</v>
      </c>
    </row>
    <row r="145" spans="1:53" s="246" customFormat="1" outlineLevel="1">
      <c r="A145" s="244"/>
      <c r="B145" s="244"/>
      <c r="C145" s="241" t="s">
        <v>106</v>
      </c>
      <c r="D145" s="121" t="s">
        <v>106</v>
      </c>
      <c r="E145" s="240" t="s">
        <v>147</v>
      </c>
      <c r="F145" s="326" t="s">
        <v>27</v>
      </c>
      <c r="G145" s="242" t="s">
        <v>27</v>
      </c>
      <c r="H145" s="242" t="s">
        <v>27</v>
      </c>
      <c r="I145" s="242" t="s">
        <v>27</v>
      </c>
      <c r="J145" s="242" t="s">
        <v>27</v>
      </c>
      <c r="K145" s="242" t="s">
        <v>27</v>
      </c>
      <c r="L145" s="242" t="s">
        <v>27</v>
      </c>
      <c r="M145" s="327" t="s">
        <v>27</v>
      </c>
      <c r="N145" s="328" t="str">
        <f t="shared" ref="N145:BA145" si="60">IF(N33&gt;=0,IF(ROUND(N37+N39+N41+N43+N45,2)=0,"OK",ROUND(N37+N39+N41+N43+N45,2)),"N/D")</f>
        <v>N/D</v>
      </c>
      <c r="O145" s="329" t="str">
        <f t="shared" si="60"/>
        <v>OK</v>
      </c>
      <c r="P145" s="329" t="str">
        <f t="shared" si="60"/>
        <v>OK</v>
      </c>
      <c r="Q145" s="329" t="str">
        <f t="shared" si="60"/>
        <v>OK</v>
      </c>
      <c r="R145" s="329" t="str">
        <f t="shared" si="60"/>
        <v>OK</v>
      </c>
      <c r="S145" s="329" t="str">
        <f t="shared" si="60"/>
        <v>OK</v>
      </c>
      <c r="T145" s="329" t="str">
        <f t="shared" si="60"/>
        <v>OK</v>
      </c>
      <c r="U145" s="329" t="str">
        <f t="shared" si="60"/>
        <v>OK</v>
      </c>
      <c r="V145" s="329" t="str">
        <f t="shared" si="60"/>
        <v>OK</v>
      </c>
      <c r="W145" s="329" t="str">
        <f t="shared" si="60"/>
        <v>OK</v>
      </c>
      <c r="X145" s="329" t="str">
        <f t="shared" si="60"/>
        <v>OK</v>
      </c>
      <c r="Y145" s="329" t="str">
        <f t="shared" si="60"/>
        <v>OK</v>
      </c>
      <c r="Z145" s="329" t="str">
        <f t="shared" si="60"/>
        <v>OK</v>
      </c>
      <c r="AA145" s="329" t="str">
        <f t="shared" si="60"/>
        <v>OK</v>
      </c>
      <c r="AB145" s="329" t="str">
        <f t="shared" si="60"/>
        <v>OK</v>
      </c>
      <c r="AC145" s="329" t="str">
        <f t="shared" si="60"/>
        <v>OK</v>
      </c>
      <c r="AD145" s="329" t="str">
        <f t="shared" si="60"/>
        <v>OK</v>
      </c>
      <c r="AE145" s="329" t="str">
        <f t="shared" si="60"/>
        <v>OK</v>
      </c>
      <c r="AF145" s="329" t="str">
        <f t="shared" si="60"/>
        <v>OK</v>
      </c>
      <c r="AG145" s="329" t="str">
        <f t="shared" si="60"/>
        <v>OK</v>
      </c>
      <c r="AH145" s="329" t="str">
        <f t="shared" si="60"/>
        <v>OK</v>
      </c>
      <c r="AI145" s="329" t="str">
        <f t="shared" si="60"/>
        <v>OK</v>
      </c>
      <c r="AJ145" s="329" t="str">
        <f t="shared" si="60"/>
        <v>OK</v>
      </c>
      <c r="AK145" s="329" t="str">
        <f t="shared" si="60"/>
        <v>OK</v>
      </c>
      <c r="AL145" s="329" t="str">
        <f t="shared" si="60"/>
        <v>OK</v>
      </c>
      <c r="AM145" s="329" t="str">
        <f t="shared" si="60"/>
        <v>OK</v>
      </c>
      <c r="AN145" s="329" t="str">
        <f t="shared" si="60"/>
        <v>OK</v>
      </c>
      <c r="AO145" s="329" t="str">
        <f t="shared" si="60"/>
        <v>OK</v>
      </c>
      <c r="AP145" s="329" t="str">
        <f t="shared" si="60"/>
        <v>OK</v>
      </c>
      <c r="AQ145" s="329" t="str">
        <f t="shared" si="60"/>
        <v>OK</v>
      </c>
      <c r="AR145" s="329" t="str">
        <f t="shared" si="60"/>
        <v>OK</v>
      </c>
      <c r="AS145" s="329" t="str">
        <f t="shared" si="60"/>
        <v>OK</v>
      </c>
      <c r="AT145" s="329" t="str">
        <f t="shared" si="60"/>
        <v>OK</v>
      </c>
      <c r="AU145" s="329" t="str">
        <f t="shared" si="60"/>
        <v>OK</v>
      </c>
      <c r="AV145" s="329" t="str">
        <f t="shared" si="60"/>
        <v>OK</v>
      </c>
      <c r="AW145" s="329" t="str">
        <f t="shared" si="60"/>
        <v>OK</v>
      </c>
      <c r="AX145" s="329" t="str">
        <f t="shared" si="60"/>
        <v>OK</v>
      </c>
      <c r="AY145" s="329" t="str">
        <f t="shared" si="60"/>
        <v>OK</v>
      </c>
      <c r="AZ145" s="329" t="str">
        <f t="shared" si="60"/>
        <v>OK</v>
      </c>
      <c r="BA145" s="330" t="str">
        <f t="shared" si="60"/>
        <v>OK</v>
      </c>
    </row>
    <row r="146" spans="1:53" s="246" customFormat="1" ht="54" outlineLevel="1">
      <c r="A146" s="244"/>
      <c r="B146" s="244"/>
      <c r="C146" s="241" t="s">
        <v>112</v>
      </c>
      <c r="D146" s="121" t="s">
        <v>407</v>
      </c>
      <c r="E146" s="243" t="s">
        <v>531</v>
      </c>
      <c r="F146" s="326" t="s">
        <v>27</v>
      </c>
      <c r="G146" s="242" t="s">
        <v>27</v>
      </c>
      <c r="H146" s="242" t="s">
        <v>27</v>
      </c>
      <c r="I146" s="242" t="s">
        <v>27</v>
      </c>
      <c r="J146" s="242" t="s">
        <v>27</v>
      </c>
      <c r="K146" s="242" t="s">
        <v>27</v>
      </c>
      <c r="L146" s="242" t="s">
        <v>27</v>
      </c>
      <c r="M146" s="327" t="s">
        <v>27</v>
      </c>
      <c r="N146" s="328" t="str">
        <f t="shared" ref="N146:BA146" si="61">IF(N33&gt;0,IF(ROUND(N33-N34,2)&lt;&gt;0,ROUND(N33-N34,2),"OK"),IF(N34&lt;&gt;0,"BŁĄD w [3.1]","OK"))</f>
        <v>OK</v>
      </c>
      <c r="O146" s="329" t="str">
        <f t="shared" si="61"/>
        <v>OK</v>
      </c>
      <c r="P146" s="329" t="str">
        <f t="shared" si="61"/>
        <v>OK</v>
      </c>
      <c r="Q146" s="329" t="str">
        <f t="shared" si="61"/>
        <v>OK</v>
      </c>
      <c r="R146" s="329" t="str">
        <f t="shared" si="61"/>
        <v>OK</v>
      </c>
      <c r="S146" s="329" t="str">
        <f t="shared" si="61"/>
        <v>OK</v>
      </c>
      <c r="T146" s="329" t="str">
        <f t="shared" si="61"/>
        <v>OK</v>
      </c>
      <c r="U146" s="329" t="str">
        <f t="shared" si="61"/>
        <v>OK</v>
      </c>
      <c r="V146" s="329" t="str">
        <f t="shared" si="61"/>
        <v>OK</v>
      </c>
      <c r="W146" s="329" t="str">
        <f t="shared" si="61"/>
        <v>OK</v>
      </c>
      <c r="X146" s="329" t="str">
        <f t="shared" si="61"/>
        <v>OK</v>
      </c>
      <c r="Y146" s="329" t="str">
        <f t="shared" si="61"/>
        <v>OK</v>
      </c>
      <c r="Z146" s="329" t="str">
        <f t="shared" si="61"/>
        <v>OK</v>
      </c>
      <c r="AA146" s="329" t="str">
        <f t="shared" si="61"/>
        <v>OK</v>
      </c>
      <c r="AB146" s="329" t="str">
        <f t="shared" si="61"/>
        <v>OK</v>
      </c>
      <c r="AC146" s="329" t="str">
        <f t="shared" si="61"/>
        <v>OK</v>
      </c>
      <c r="AD146" s="329" t="str">
        <f t="shared" si="61"/>
        <v>OK</v>
      </c>
      <c r="AE146" s="329" t="str">
        <f t="shared" si="61"/>
        <v>OK</v>
      </c>
      <c r="AF146" s="329" t="str">
        <f t="shared" si="61"/>
        <v>OK</v>
      </c>
      <c r="AG146" s="329" t="str">
        <f t="shared" si="61"/>
        <v>OK</v>
      </c>
      <c r="AH146" s="329" t="str">
        <f t="shared" si="61"/>
        <v>OK</v>
      </c>
      <c r="AI146" s="329" t="str">
        <f t="shared" si="61"/>
        <v>OK</v>
      </c>
      <c r="AJ146" s="329" t="str">
        <f t="shared" si="61"/>
        <v>OK</v>
      </c>
      <c r="AK146" s="329" t="str">
        <f t="shared" si="61"/>
        <v>OK</v>
      </c>
      <c r="AL146" s="329" t="str">
        <f t="shared" si="61"/>
        <v>OK</v>
      </c>
      <c r="AM146" s="329" t="str">
        <f t="shared" si="61"/>
        <v>OK</v>
      </c>
      <c r="AN146" s="329" t="str">
        <f t="shared" si="61"/>
        <v>OK</v>
      </c>
      <c r="AO146" s="329" t="str">
        <f t="shared" si="61"/>
        <v>OK</v>
      </c>
      <c r="AP146" s="329" t="str">
        <f t="shared" si="61"/>
        <v>OK</v>
      </c>
      <c r="AQ146" s="329" t="str">
        <f t="shared" si="61"/>
        <v>OK</v>
      </c>
      <c r="AR146" s="329" t="str">
        <f t="shared" si="61"/>
        <v>OK</v>
      </c>
      <c r="AS146" s="329" t="str">
        <f t="shared" si="61"/>
        <v>OK</v>
      </c>
      <c r="AT146" s="329" t="str">
        <f t="shared" si="61"/>
        <v>OK</v>
      </c>
      <c r="AU146" s="329" t="str">
        <f t="shared" si="61"/>
        <v>OK</v>
      </c>
      <c r="AV146" s="329" t="str">
        <f t="shared" si="61"/>
        <v>OK</v>
      </c>
      <c r="AW146" s="329" t="str">
        <f t="shared" si="61"/>
        <v>OK</v>
      </c>
      <c r="AX146" s="329" t="str">
        <f t="shared" si="61"/>
        <v>OK</v>
      </c>
      <c r="AY146" s="329" t="str">
        <f t="shared" si="61"/>
        <v>OK</v>
      </c>
      <c r="AZ146" s="329" t="str">
        <f t="shared" si="61"/>
        <v>OK</v>
      </c>
      <c r="BA146" s="330" t="str">
        <f t="shared" si="61"/>
        <v>OK</v>
      </c>
    </row>
    <row r="147" spans="1:53" s="246" customFormat="1" outlineLevel="1">
      <c r="A147" s="244"/>
      <c r="B147" s="244"/>
      <c r="C147" s="241" t="s">
        <v>107</v>
      </c>
      <c r="D147" s="121" t="s">
        <v>372</v>
      </c>
      <c r="E147" s="245" t="s">
        <v>374</v>
      </c>
      <c r="F147" s="335" t="str">
        <f>IF(ROUND((F12+F13+F14+F15+F16-F11),2)=0,"OK","BŁĄD")</f>
        <v>OK</v>
      </c>
      <c r="G147" s="331" t="str">
        <f>IF(ROUND((G12+G13+G14+G15+G16-G11),2)=0,"OK","BŁĄD")</f>
        <v>OK</v>
      </c>
      <c r="H147" s="331" t="str">
        <f>IF(ROUND((H12+H13+H14+H15+H16-H11),2)=0,"OK","BŁĄD")</f>
        <v>OK</v>
      </c>
      <c r="I147" s="331" t="str">
        <f>IF(ROUND((I12+I13+I14+I15+I16-I11),2)=0,"OK","BŁĄD")</f>
        <v>OK</v>
      </c>
      <c r="J147" s="331" t="str">
        <f>IF(ROUND((J12+J13+J14+J15+J16-J11),2)=0,"OK","BŁĄD")</f>
        <v>OK</v>
      </c>
      <c r="K147" s="331" t="str">
        <f t="shared" ref="K147:Q147" si="62">IF(ROUND((K12+K13+K14+K15+K16-K11),2)=0,"OK","BŁĄD")</f>
        <v>OK</v>
      </c>
      <c r="L147" s="331" t="str">
        <f t="shared" si="62"/>
        <v>OK</v>
      </c>
      <c r="M147" s="332" t="str">
        <f t="shared" si="62"/>
        <v>OK</v>
      </c>
      <c r="N147" s="334" t="str">
        <f t="shared" si="62"/>
        <v>OK</v>
      </c>
      <c r="O147" s="43" t="str">
        <f t="shared" si="62"/>
        <v>OK</v>
      </c>
      <c r="P147" s="43" t="str">
        <f t="shared" si="62"/>
        <v>OK</v>
      </c>
      <c r="Q147" s="43" t="str">
        <f t="shared" si="62"/>
        <v>OK</v>
      </c>
      <c r="R147" s="43" t="s">
        <v>27</v>
      </c>
      <c r="S147" s="43" t="s">
        <v>27</v>
      </c>
      <c r="T147" s="43" t="s">
        <v>27</v>
      </c>
      <c r="U147" s="43" t="s">
        <v>27</v>
      </c>
      <c r="V147" s="43" t="s">
        <v>27</v>
      </c>
      <c r="W147" s="43" t="s">
        <v>27</v>
      </c>
      <c r="X147" s="43" t="s">
        <v>27</v>
      </c>
      <c r="Y147" s="43" t="s">
        <v>27</v>
      </c>
      <c r="Z147" s="43" t="s">
        <v>27</v>
      </c>
      <c r="AA147" s="43" t="s">
        <v>27</v>
      </c>
      <c r="AB147" s="43" t="s">
        <v>27</v>
      </c>
      <c r="AC147" s="43" t="s">
        <v>27</v>
      </c>
      <c r="AD147" s="43" t="s">
        <v>27</v>
      </c>
      <c r="AE147" s="43" t="s">
        <v>27</v>
      </c>
      <c r="AF147" s="43" t="s">
        <v>27</v>
      </c>
      <c r="AG147" s="43" t="s">
        <v>27</v>
      </c>
      <c r="AH147" s="43" t="s">
        <v>27</v>
      </c>
      <c r="AI147" s="43" t="s">
        <v>27</v>
      </c>
      <c r="AJ147" s="43" t="s">
        <v>27</v>
      </c>
      <c r="AK147" s="43" t="s">
        <v>27</v>
      </c>
      <c r="AL147" s="43" t="s">
        <v>27</v>
      </c>
      <c r="AM147" s="43" t="s">
        <v>27</v>
      </c>
      <c r="AN147" s="43" t="s">
        <v>27</v>
      </c>
      <c r="AO147" s="43" t="s">
        <v>27</v>
      </c>
      <c r="AP147" s="43" t="s">
        <v>27</v>
      </c>
      <c r="AQ147" s="43" t="s">
        <v>27</v>
      </c>
      <c r="AR147" s="43" t="s">
        <v>27</v>
      </c>
      <c r="AS147" s="43" t="s">
        <v>27</v>
      </c>
      <c r="AT147" s="43" t="s">
        <v>27</v>
      </c>
      <c r="AU147" s="43" t="s">
        <v>27</v>
      </c>
      <c r="AV147" s="43" t="s">
        <v>27</v>
      </c>
      <c r="AW147" s="43" t="s">
        <v>27</v>
      </c>
      <c r="AX147" s="43" t="s">
        <v>27</v>
      </c>
      <c r="AY147" s="43" t="s">
        <v>27</v>
      </c>
      <c r="AZ147" s="43" t="s">
        <v>27</v>
      </c>
      <c r="BA147" s="44" t="s">
        <v>27</v>
      </c>
    </row>
    <row r="148" spans="1:53" s="246" customFormat="1" outlineLevel="1">
      <c r="A148" s="244"/>
      <c r="B148" s="244"/>
      <c r="C148" s="241" t="s">
        <v>107</v>
      </c>
      <c r="D148" s="121" t="s">
        <v>373</v>
      </c>
      <c r="E148" s="245" t="s">
        <v>375</v>
      </c>
      <c r="F148" s="326" t="s">
        <v>27</v>
      </c>
      <c r="G148" s="242" t="s">
        <v>27</v>
      </c>
      <c r="H148" s="242" t="s">
        <v>27</v>
      </c>
      <c r="I148" s="242" t="s">
        <v>27</v>
      </c>
      <c r="J148" s="242" t="s">
        <v>27</v>
      </c>
      <c r="K148" s="242" t="s">
        <v>27</v>
      </c>
      <c r="L148" s="242" t="s">
        <v>27</v>
      </c>
      <c r="M148" s="327" t="s">
        <v>27</v>
      </c>
      <c r="N148" s="334" t="s">
        <v>27</v>
      </c>
      <c r="O148" s="43" t="s">
        <v>27</v>
      </c>
      <c r="P148" s="43" t="s">
        <v>27</v>
      </c>
      <c r="Q148" s="43" t="s">
        <v>27</v>
      </c>
      <c r="R148" s="43" t="str">
        <f t="shared" ref="R148:BA148" si="63">IF(ROUND((R11-(R12+R13+R14+R15+R16)),2)&gt;=0,"OK","BŁĄD")</f>
        <v>OK</v>
      </c>
      <c r="S148" s="43" t="str">
        <f t="shared" si="63"/>
        <v>OK</v>
      </c>
      <c r="T148" s="43" t="str">
        <f t="shared" si="63"/>
        <v>OK</v>
      </c>
      <c r="U148" s="43" t="str">
        <f t="shared" si="63"/>
        <v>OK</v>
      </c>
      <c r="V148" s="43" t="str">
        <f t="shared" si="63"/>
        <v>OK</v>
      </c>
      <c r="W148" s="43" t="str">
        <f t="shared" si="63"/>
        <v>OK</v>
      </c>
      <c r="X148" s="43" t="str">
        <f t="shared" si="63"/>
        <v>OK</v>
      </c>
      <c r="Y148" s="43" t="str">
        <f t="shared" si="63"/>
        <v>OK</v>
      </c>
      <c r="Z148" s="43" t="str">
        <f t="shared" si="63"/>
        <v>OK</v>
      </c>
      <c r="AA148" s="43" t="str">
        <f t="shared" si="63"/>
        <v>OK</v>
      </c>
      <c r="AB148" s="43" t="str">
        <f t="shared" si="63"/>
        <v>OK</v>
      </c>
      <c r="AC148" s="43" t="str">
        <f t="shared" si="63"/>
        <v>OK</v>
      </c>
      <c r="AD148" s="43" t="str">
        <f t="shared" si="63"/>
        <v>OK</v>
      </c>
      <c r="AE148" s="43" t="str">
        <f t="shared" si="63"/>
        <v>OK</v>
      </c>
      <c r="AF148" s="43" t="str">
        <f t="shared" si="63"/>
        <v>OK</v>
      </c>
      <c r="AG148" s="43" t="str">
        <f t="shared" si="63"/>
        <v>OK</v>
      </c>
      <c r="AH148" s="43" t="str">
        <f t="shared" si="63"/>
        <v>OK</v>
      </c>
      <c r="AI148" s="43" t="str">
        <f t="shared" si="63"/>
        <v>OK</v>
      </c>
      <c r="AJ148" s="43" t="str">
        <f t="shared" si="63"/>
        <v>OK</v>
      </c>
      <c r="AK148" s="43" t="str">
        <f t="shared" si="63"/>
        <v>OK</v>
      </c>
      <c r="AL148" s="43" t="str">
        <f t="shared" si="63"/>
        <v>OK</v>
      </c>
      <c r="AM148" s="43" t="str">
        <f t="shared" si="63"/>
        <v>OK</v>
      </c>
      <c r="AN148" s="43" t="str">
        <f t="shared" si="63"/>
        <v>OK</v>
      </c>
      <c r="AO148" s="43" t="str">
        <f t="shared" si="63"/>
        <v>OK</v>
      </c>
      <c r="AP148" s="43" t="str">
        <f t="shared" si="63"/>
        <v>OK</v>
      </c>
      <c r="AQ148" s="43" t="str">
        <f t="shared" si="63"/>
        <v>OK</v>
      </c>
      <c r="AR148" s="43" t="str">
        <f t="shared" si="63"/>
        <v>OK</v>
      </c>
      <c r="AS148" s="43" t="str">
        <f t="shared" si="63"/>
        <v>OK</v>
      </c>
      <c r="AT148" s="43" t="str">
        <f t="shared" si="63"/>
        <v>OK</v>
      </c>
      <c r="AU148" s="43" t="str">
        <f t="shared" si="63"/>
        <v>OK</v>
      </c>
      <c r="AV148" s="43" t="str">
        <f t="shared" si="63"/>
        <v>OK</v>
      </c>
      <c r="AW148" s="43" t="str">
        <f t="shared" si="63"/>
        <v>OK</v>
      </c>
      <c r="AX148" s="43" t="str">
        <f t="shared" si="63"/>
        <v>OK</v>
      </c>
      <c r="AY148" s="43" t="str">
        <f t="shared" si="63"/>
        <v>OK</v>
      </c>
      <c r="AZ148" s="43" t="str">
        <f t="shared" si="63"/>
        <v>OK</v>
      </c>
      <c r="BA148" s="44" t="str">
        <f t="shared" si="63"/>
        <v>OK</v>
      </c>
    </row>
    <row r="149" spans="1:53" s="246" customFormat="1" outlineLevel="1">
      <c r="A149" s="244"/>
      <c r="B149" s="244"/>
      <c r="C149" s="241" t="s">
        <v>108</v>
      </c>
      <c r="D149" s="121" t="s">
        <v>376</v>
      </c>
      <c r="E149" s="245" t="s">
        <v>377</v>
      </c>
      <c r="F149" s="326" t="s">
        <v>27</v>
      </c>
      <c r="G149" s="242" t="s">
        <v>27</v>
      </c>
      <c r="H149" s="242" t="s">
        <v>27</v>
      </c>
      <c r="I149" s="242" t="s">
        <v>27</v>
      </c>
      <c r="J149" s="242" t="s">
        <v>27</v>
      </c>
      <c r="K149" s="242" t="s">
        <v>27</v>
      </c>
      <c r="L149" s="242" t="s">
        <v>27</v>
      </c>
      <c r="M149" s="327" t="s">
        <v>27</v>
      </c>
      <c r="N149" s="334" t="str">
        <f t="shared" ref="N149:BA149" si="64">IF(N11&gt;=N78,"OK","BŁĄD")</f>
        <v>OK</v>
      </c>
      <c r="O149" s="43" t="str">
        <f t="shared" si="64"/>
        <v>OK</v>
      </c>
      <c r="P149" s="43" t="str">
        <f t="shared" si="64"/>
        <v>OK</v>
      </c>
      <c r="Q149" s="43" t="str">
        <f t="shared" si="64"/>
        <v>OK</v>
      </c>
      <c r="R149" s="43" t="str">
        <f t="shared" si="64"/>
        <v>OK</v>
      </c>
      <c r="S149" s="43" t="str">
        <f t="shared" si="64"/>
        <v>OK</v>
      </c>
      <c r="T149" s="43" t="str">
        <f t="shared" si="64"/>
        <v>OK</v>
      </c>
      <c r="U149" s="43" t="str">
        <f t="shared" si="64"/>
        <v>OK</v>
      </c>
      <c r="V149" s="43" t="str">
        <f t="shared" si="64"/>
        <v>OK</v>
      </c>
      <c r="W149" s="43" t="str">
        <f t="shared" si="64"/>
        <v>OK</v>
      </c>
      <c r="X149" s="43" t="str">
        <f t="shared" si="64"/>
        <v>OK</v>
      </c>
      <c r="Y149" s="43" t="str">
        <f t="shared" si="64"/>
        <v>OK</v>
      </c>
      <c r="Z149" s="43" t="str">
        <f t="shared" si="64"/>
        <v>OK</v>
      </c>
      <c r="AA149" s="43" t="str">
        <f t="shared" si="64"/>
        <v>OK</v>
      </c>
      <c r="AB149" s="43" t="str">
        <f t="shared" si="64"/>
        <v>OK</v>
      </c>
      <c r="AC149" s="43" t="str">
        <f t="shared" si="64"/>
        <v>OK</v>
      </c>
      <c r="AD149" s="43" t="str">
        <f t="shared" si="64"/>
        <v>OK</v>
      </c>
      <c r="AE149" s="43" t="str">
        <f t="shared" si="64"/>
        <v>OK</v>
      </c>
      <c r="AF149" s="43" t="str">
        <f t="shared" si="64"/>
        <v>OK</v>
      </c>
      <c r="AG149" s="43" t="str">
        <f t="shared" si="64"/>
        <v>OK</v>
      </c>
      <c r="AH149" s="43" t="str">
        <f t="shared" si="64"/>
        <v>OK</v>
      </c>
      <c r="AI149" s="43" t="str">
        <f t="shared" si="64"/>
        <v>OK</v>
      </c>
      <c r="AJ149" s="43" t="str">
        <f t="shared" si="64"/>
        <v>OK</v>
      </c>
      <c r="AK149" s="43" t="str">
        <f t="shared" si="64"/>
        <v>OK</v>
      </c>
      <c r="AL149" s="43" t="str">
        <f t="shared" si="64"/>
        <v>OK</v>
      </c>
      <c r="AM149" s="43" t="str">
        <f t="shared" si="64"/>
        <v>OK</v>
      </c>
      <c r="AN149" s="43" t="str">
        <f t="shared" si="64"/>
        <v>OK</v>
      </c>
      <c r="AO149" s="43" t="str">
        <f t="shared" si="64"/>
        <v>OK</v>
      </c>
      <c r="AP149" s="43" t="str">
        <f t="shared" si="64"/>
        <v>OK</v>
      </c>
      <c r="AQ149" s="43" t="str">
        <f t="shared" si="64"/>
        <v>OK</v>
      </c>
      <c r="AR149" s="43" t="str">
        <f t="shared" si="64"/>
        <v>OK</v>
      </c>
      <c r="AS149" s="43" t="str">
        <f t="shared" si="64"/>
        <v>OK</v>
      </c>
      <c r="AT149" s="43" t="str">
        <f t="shared" si="64"/>
        <v>OK</v>
      </c>
      <c r="AU149" s="43" t="str">
        <f t="shared" si="64"/>
        <v>OK</v>
      </c>
      <c r="AV149" s="43" t="str">
        <f t="shared" si="64"/>
        <v>OK</v>
      </c>
      <c r="AW149" s="43" t="str">
        <f t="shared" si="64"/>
        <v>OK</v>
      </c>
      <c r="AX149" s="43" t="str">
        <f t="shared" si="64"/>
        <v>OK</v>
      </c>
      <c r="AY149" s="43" t="str">
        <f t="shared" si="64"/>
        <v>OK</v>
      </c>
      <c r="AZ149" s="43" t="str">
        <f t="shared" si="64"/>
        <v>OK</v>
      </c>
      <c r="BA149" s="44" t="str">
        <f t="shared" si="64"/>
        <v>OK</v>
      </c>
    </row>
    <row r="150" spans="1:53" s="246" customFormat="1" outlineLevel="1">
      <c r="A150" s="244"/>
      <c r="B150" s="244"/>
      <c r="C150" s="241" t="s">
        <v>108</v>
      </c>
      <c r="D150" s="121" t="s">
        <v>379</v>
      </c>
      <c r="E150" s="245" t="s">
        <v>378</v>
      </c>
      <c r="F150" s="326" t="s">
        <v>27</v>
      </c>
      <c r="G150" s="242" t="s">
        <v>27</v>
      </c>
      <c r="H150" s="242" t="s">
        <v>27</v>
      </c>
      <c r="I150" s="242" t="s">
        <v>27</v>
      </c>
      <c r="J150" s="242" t="s">
        <v>27</v>
      </c>
      <c r="K150" s="242" t="s">
        <v>27</v>
      </c>
      <c r="L150" s="242" t="s">
        <v>27</v>
      </c>
      <c r="M150" s="327" t="s">
        <v>27</v>
      </c>
      <c r="N150" s="334" t="str">
        <f t="shared" ref="N150:BA150" si="65">IF(N11&gt;=N111,"OK","BŁĄD")</f>
        <v>OK</v>
      </c>
      <c r="O150" s="43" t="str">
        <f t="shared" si="65"/>
        <v>OK</v>
      </c>
      <c r="P150" s="43" t="str">
        <f t="shared" si="65"/>
        <v>OK</v>
      </c>
      <c r="Q150" s="43" t="str">
        <f t="shared" si="65"/>
        <v>OK</v>
      </c>
      <c r="R150" s="43" t="str">
        <f t="shared" si="65"/>
        <v>OK</v>
      </c>
      <c r="S150" s="43" t="str">
        <f t="shared" si="65"/>
        <v>OK</v>
      </c>
      <c r="T150" s="43" t="str">
        <f t="shared" si="65"/>
        <v>OK</v>
      </c>
      <c r="U150" s="43" t="str">
        <f t="shared" si="65"/>
        <v>OK</v>
      </c>
      <c r="V150" s="43" t="str">
        <f t="shared" si="65"/>
        <v>OK</v>
      </c>
      <c r="W150" s="43" t="str">
        <f t="shared" si="65"/>
        <v>OK</v>
      </c>
      <c r="X150" s="43" t="str">
        <f t="shared" si="65"/>
        <v>OK</v>
      </c>
      <c r="Y150" s="43" t="str">
        <f t="shared" si="65"/>
        <v>OK</v>
      </c>
      <c r="Z150" s="43" t="str">
        <f t="shared" si="65"/>
        <v>OK</v>
      </c>
      <c r="AA150" s="43" t="str">
        <f t="shared" si="65"/>
        <v>OK</v>
      </c>
      <c r="AB150" s="43" t="str">
        <f t="shared" si="65"/>
        <v>OK</v>
      </c>
      <c r="AC150" s="43" t="str">
        <f t="shared" si="65"/>
        <v>OK</v>
      </c>
      <c r="AD150" s="43" t="str">
        <f t="shared" si="65"/>
        <v>OK</v>
      </c>
      <c r="AE150" s="43" t="str">
        <f t="shared" si="65"/>
        <v>OK</v>
      </c>
      <c r="AF150" s="43" t="str">
        <f t="shared" si="65"/>
        <v>OK</v>
      </c>
      <c r="AG150" s="43" t="str">
        <f t="shared" si="65"/>
        <v>OK</v>
      </c>
      <c r="AH150" s="43" t="str">
        <f t="shared" si="65"/>
        <v>OK</v>
      </c>
      <c r="AI150" s="43" t="str">
        <f t="shared" si="65"/>
        <v>OK</v>
      </c>
      <c r="AJ150" s="43" t="str">
        <f t="shared" si="65"/>
        <v>OK</v>
      </c>
      <c r="AK150" s="43" t="str">
        <f t="shared" si="65"/>
        <v>OK</v>
      </c>
      <c r="AL150" s="43" t="str">
        <f t="shared" si="65"/>
        <v>OK</v>
      </c>
      <c r="AM150" s="43" t="str">
        <f t="shared" si="65"/>
        <v>OK</v>
      </c>
      <c r="AN150" s="43" t="str">
        <f t="shared" si="65"/>
        <v>OK</v>
      </c>
      <c r="AO150" s="43" t="str">
        <f t="shared" si="65"/>
        <v>OK</v>
      </c>
      <c r="AP150" s="43" t="str">
        <f t="shared" si="65"/>
        <v>OK</v>
      </c>
      <c r="AQ150" s="43" t="str">
        <f t="shared" si="65"/>
        <v>OK</v>
      </c>
      <c r="AR150" s="43" t="str">
        <f t="shared" si="65"/>
        <v>OK</v>
      </c>
      <c r="AS150" s="43" t="str">
        <f t="shared" si="65"/>
        <v>OK</v>
      </c>
      <c r="AT150" s="43" t="str">
        <f t="shared" si="65"/>
        <v>OK</v>
      </c>
      <c r="AU150" s="43" t="str">
        <f t="shared" si="65"/>
        <v>OK</v>
      </c>
      <c r="AV150" s="43" t="str">
        <f t="shared" si="65"/>
        <v>OK</v>
      </c>
      <c r="AW150" s="43" t="str">
        <f t="shared" si="65"/>
        <v>OK</v>
      </c>
      <c r="AX150" s="43" t="str">
        <f t="shared" si="65"/>
        <v>OK</v>
      </c>
      <c r="AY150" s="43" t="str">
        <f t="shared" si="65"/>
        <v>OK</v>
      </c>
      <c r="AZ150" s="43" t="str">
        <f t="shared" si="65"/>
        <v>OK</v>
      </c>
      <c r="BA150" s="44" t="str">
        <f t="shared" si="65"/>
        <v>OK</v>
      </c>
    </row>
    <row r="151" spans="1:53" s="246" customFormat="1" outlineLevel="1">
      <c r="A151" s="244"/>
      <c r="B151" s="244"/>
      <c r="C151" s="241" t="s">
        <v>108</v>
      </c>
      <c r="D151" s="121" t="s">
        <v>380</v>
      </c>
      <c r="E151" s="245" t="s">
        <v>381</v>
      </c>
      <c r="F151" s="326" t="s">
        <v>27</v>
      </c>
      <c r="G151" s="242" t="s">
        <v>27</v>
      </c>
      <c r="H151" s="242" t="s">
        <v>27</v>
      </c>
      <c r="I151" s="242" t="s">
        <v>27</v>
      </c>
      <c r="J151" s="242" t="s">
        <v>27</v>
      </c>
      <c r="K151" s="242" t="s">
        <v>27</v>
      </c>
      <c r="L151" s="242" t="s">
        <v>27</v>
      </c>
      <c r="M151" s="327" t="s">
        <v>27</v>
      </c>
      <c r="N151" s="334" t="str">
        <f t="shared" ref="N151:BA151" si="66">IF(N16&gt;=N17,"OK","BŁĄD")</f>
        <v>OK</v>
      </c>
      <c r="O151" s="43" t="str">
        <f t="shared" si="66"/>
        <v>OK</v>
      </c>
      <c r="P151" s="43" t="str">
        <f t="shared" si="66"/>
        <v>OK</v>
      </c>
      <c r="Q151" s="43" t="str">
        <f t="shared" si="66"/>
        <v>OK</v>
      </c>
      <c r="R151" s="43" t="str">
        <f t="shared" si="66"/>
        <v>OK</v>
      </c>
      <c r="S151" s="43" t="str">
        <f t="shared" si="66"/>
        <v>OK</v>
      </c>
      <c r="T151" s="43" t="str">
        <f t="shared" si="66"/>
        <v>OK</v>
      </c>
      <c r="U151" s="43" t="str">
        <f t="shared" si="66"/>
        <v>OK</v>
      </c>
      <c r="V151" s="43" t="str">
        <f t="shared" si="66"/>
        <v>OK</v>
      </c>
      <c r="W151" s="43" t="str">
        <f t="shared" si="66"/>
        <v>OK</v>
      </c>
      <c r="X151" s="43" t="str">
        <f t="shared" si="66"/>
        <v>OK</v>
      </c>
      <c r="Y151" s="43" t="str">
        <f t="shared" si="66"/>
        <v>OK</v>
      </c>
      <c r="Z151" s="43" t="str">
        <f t="shared" si="66"/>
        <v>OK</v>
      </c>
      <c r="AA151" s="43" t="str">
        <f t="shared" si="66"/>
        <v>OK</v>
      </c>
      <c r="AB151" s="43" t="str">
        <f t="shared" si="66"/>
        <v>OK</v>
      </c>
      <c r="AC151" s="43" t="str">
        <f t="shared" si="66"/>
        <v>OK</v>
      </c>
      <c r="AD151" s="43" t="str">
        <f t="shared" si="66"/>
        <v>OK</v>
      </c>
      <c r="AE151" s="43" t="str">
        <f t="shared" si="66"/>
        <v>OK</v>
      </c>
      <c r="AF151" s="43" t="str">
        <f t="shared" si="66"/>
        <v>OK</v>
      </c>
      <c r="AG151" s="43" t="str">
        <f t="shared" si="66"/>
        <v>OK</v>
      </c>
      <c r="AH151" s="43" t="str">
        <f t="shared" si="66"/>
        <v>OK</v>
      </c>
      <c r="AI151" s="43" t="str">
        <f t="shared" si="66"/>
        <v>OK</v>
      </c>
      <c r="AJ151" s="43" t="str">
        <f t="shared" si="66"/>
        <v>OK</v>
      </c>
      <c r="AK151" s="43" t="str">
        <f t="shared" si="66"/>
        <v>OK</v>
      </c>
      <c r="AL151" s="43" t="str">
        <f t="shared" si="66"/>
        <v>OK</v>
      </c>
      <c r="AM151" s="43" t="str">
        <f t="shared" si="66"/>
        <v>OK</v>
      </c>
      <c r="AN151" s="43" t="str">
        <f t="shared" si="66"/>
        <v>OK</v>
      </c>
      <c r="AO151" s="43" t="str">
        <f t="shared" si="66"/>
        <v>OK</v>
      </c>
      <c r="AP151" s="43" t="str">
        <f t="shared" si="66"/>
        <v>OK</v>
      </c>
      <c r="AQ151" s="43" t="str">
        <f t="shared" si="66"/>
        <v>OK</v>
      </c>
      <c r="AR151" s="43" t="str">
        <f t="shared" si="66"/>
        <v>OK</v>
      </c>
      <c r="AS151" s="43" t="str">
        <f t="shared" si="66"/>
        <v>OK</v>
      </c>
      <c r="AT151" s="43" t="str">
        <f t="shared" si="66"/>
        <v>OK</v>
      </c>
      <c r="AU151" s="43" t="str">
        <f t="shared" si="66"/>
        <v>OK</v>
      </c>
      <c r="AV151" s="43" t="str">
        <f t="shared" si="66"/>
        <v>OK</v>
      </c>
      <c r="AW151" s="43" t="str">
        <f t="shared" si="66"/>
        <v>OK</v>
      </c>
      <c r="AX151" s="43" t="str">
        <f t="shared" si="66"/>
        <v>OK</v>
      </c>
      <c r="AY151" s="43" t="str">
        <f t="shared" si="66"/>
        <v>OK</v>
      </c>
      <c r="AZ151" s="43" t="str">
        <f t="shared" si="66"/>
        <v>OK</v>
      </c>
      <c r="BA151" s="44" t="str">
        <f t="shared" si="66"/>
        <v>OK</v>
      </c>
    </row>
    <row r="152" spans="1:53" s="246" customFormat="1" outlineLevel="1">
      <c r="A152" s="244"/>
      <c r="B152" s="244"/>
      <c r="C152" s="241"/>
      <c r="D152" s="121"/>
      <c r="E152" s="245" t="s">
        <v>532</v>
      </c>
      <c r="F152" s="326" t="s">
        <v>27</v>
      </c>
      <c r="G152" s="242" t="s">
        <v>27</v>
      </c>
      <c r="H152" s="242" t="s">
        <v>27</v>
      </c>
      <c r="I152" s="242" t="s">
        <v>27</v>
      </c>
      <c r="J152" s="242" t="s">
        <v>27</v>
      </c>
      <c r="K152" s="242" t="s">
        <v>27</v>
      </c>
      <c r="L152" s="242" t="s">
        <v>27</v>
      </c>
      <c r="M152" s="327" t="s">
        <v>27</v>
      </c>
      <c r="N152" s="334" t="str">
        <f t="shared" ref="N152:BA152" si="67">IF(ROUND(N18-(N19+N20),2)&gt;=0,"OK","BŁĄD")</f>
        <v>OK</v>
      </c>
      <c r="O152" s="43" t="str">
        <f t="shared" si="67"/>
        <v>OK</v>
      </c>
      <c r="P152" s="43" t="str">
        <f t="shared" si="67"/>
        <v>OK</v>
      </c>
      <c r="Q152" s="43" t="str">
        <f t="shared" si="67"/>
        <v>OK</v>
      </c>
      <c r="R152" s="43" t="str">
        <f t="shared" si="67"/>
        <v>OK</v>
      </c>
      <c r="S152" s="43" t="str">
        <f t="shared" si="67"/>
        <v>OK</v>
      </c>
      <c r="T152" s="43" t="str">
        <f t="shared" si="67"/>
        <v>OK</v>
      </c>
      <c r="U152" s="43" t="str">
        <f t="shared" si="67"/>
        <v>OK</v>
      </c>
      <c r="V152" s="43" t="str">
        <f t="shared" si="67"/>
        <v>OK</v>
      </c>
      <c r="W152" s="43" t="str">
        <f t="shared" si="67"/>
        <v>OK</v>
      </c>
      <c r="X152" s="43" t="str">
        <f t="shared" si="67"/>
        <v>OK</v>
      </c>
      <c r="Y152" s="43" t="str">
        <f t="shared" si="67"/>
        <v>OK</v>
      </c>
      <c r="Z152" s="43" t="str">
        <f t="shared" si="67"/>
        <v>OK</v>
      </c>
      <c r="AA152" s="43" t="str">
        <f t="shared" si="67"/>
        <v>OK</v>
      </c>
      <c r="AB152" s="43" t="str">
        <f t="shared" si="67"/>
        <v>OK</v>
      </c>
      <c r="AC152" s="43" t="str">
        <f t="shared" si="67"/>
        <v>OK</v>
      </c>
      <c r="AD152" s="43" t="str">
        <f t="shared" si="67"/>
        <v>OK</v>
      </c>
      <c r="AE152" s="43" t="str">
        <f t="shared" si="67"/>
        <v>OK</v>
      </c>
      <c r="AF152" s="43" t="str">
        <f t="shared" si="67"/>
        <v>OK</v>
      </c>
      <c r="AG152" s="43" t="str">
        <f t="shared" si="67"/>
        <v>OK</v>
      </c>
      <c r="AH152" s="43" t="str">
        <f t="shared" si="67"/>
        <v>OK</v>
      </c>
      <c r="AI152" s="43" t="str">
        <f t="shared" si="67"/>
        <v>OK</v>
      </c>
      <c r="AJ152" s="43" t="str">
        <f t="shared" si="67"/>
        <v>OK</v>
      </c>
      <c r="AK152" s="43" t="str">
        <f t="shared" si="67"/>
        <v>OK</v>
      </c>
      <c r="AL152" s="43" t="str">
        <f t="shared" si="67"/>
        <v>OK</v>
      </c>
      <c r="AM152" s="43" t="str">
        <f t="shared" si="67"/>
        <v>OK</v>
      </c>
      <c r="AN152" s="43" t="str">
        <f t="shared" si="67"/>
        <v>OK</v>
      </c>
      <c r="AO152" s="43" t="str">
        <f t="shared" si="67"/>
        <v>OK</v>
      </c>
      <c r="AP152" s="43" t="str">
        <f t="shared" si="67"/>
        <v>OK</v>
      </c>
      <c r="AQ152" s="43" t="str">
        <f t="shared" si="67"/>
        <v>OK</v>
      </c>
      <c r="AR152" s="43" t="str">
        <f t="shared" si="67"/>
        <v>OK</v>
      </c>
      <c r="AS152" s="43" t="str">
        <f t="shared" si="67"/>
        <v>OK</v>
      </c>
      <c r="AT152" s="43" t="str">
        <f t="shared" si="67"/>
        <v>OK</v>
      </c>
      <c r="AU152" s="43" t="str">
        <f t="shared" si="67"/>
        <v>OK</v>
      </c>
      <c r="AV152" s="43" t="str">
        <f t="shared" si="67"/>
        <v>OK</v>
      </c>
      <c r="AW152" s="43" t="str">
        <f t="shared" si="67"/>
        <v>OK</v>
      </c>
      <c r="AX152" s="43" t="str">
        <f t="shared" si="67"/>
        <v>OK</v>
      </c>
      <c r="AY152" s="43" t="str">
        <f t="shared" si="67"/>
        <v>OK</v>
      </c>
      <c r="AZ152" s="43" t="str">
        <f t="shared" si="67"/>
        <v>OK</v>
      </c>
      <c r="BA152" s="44" t="str">
        <f t="shared" si="67"/>
        <v>OK</v>
      </c>
    </row>
    <row r="153" spans="1:53" s="246" customFormat="1" outlineLevel="1">
      <c r="A153" s="244"/>
      <c r="B153" s="244"/>
      <c r="C153" s="241" t="s">
        <v>109</v>
      </c>
      <c r="D153" s="121" t="s">
        <v>109</v>
      </c>
      <c r="E153" s="245" t="s">
        <v>149</v>
      </c>
      <c r="F153" s="326" t="s">
        <v>27</v>
      </c>
      <c r="G153" s="242" t="s">
        <v>27</v>
      </c>
      <c r="H153" s="242" t="s">
        <v>27</v>
      </c>
      <c r="I153" s="242" t="s">
        <v>27</v>
      </c>
      <c r="J153" s="242" t="s">
        <v>27</v>
      </c>
      <c r="K153" s="242" t="s">
        <v>27</v>
      </c>
      <c r="L153" s="242" t="s">
        <v>27</v>
      </c>
      <c r="M153" s="327" t="s">
        <v>27</v>
      </c>
      <c r="N153" s="334" t="str">
        <f t="shared" ref="N153:BA153" si="68">IF(N18&gt;=N19,"OK","BŁĄD")</f>
        <v>OK</v>
      </c>
      <c r="O153" s="43" t="str">
        <f t="shared" si="68"/>
        <v>OK</v>
      </c>
      <c r="P153" s="43" t="str">
        <f t="shared" si="68"/>
        <v>OK</v>
      </c>
      <c r="Q153" s="43" t="str">
        <f t="shared" si="68"/>
        <v>OK</v>
      </c>
      <c r="R153" s="43" t="str">
        <f t="shared" si="68"/>
        <v>OK</v>
      </c>
      <c r="S153" s="43" t="str">
        <f t="shared" si="68"/>
        <v>OK</v>
      </c>
      <c r="T153" s="43" t="str">
        <f t="shared" si="68"/>
        <v>OK</v>
      </c>
      <c r="U153" s="43" t="str">
        <f t="shared" si="68"/>
        <v>OK</v>
      </c>
      <c r="V153" s="43" t="str">
        <f t="shared" si="68"/>
        <v>OK</v>
      </c>
      <c r="W153" s="43" t="str">
        <f t="shared" si="68"/>
        <v>OK</v>
      </c>
      <c r="X153" s="43" t="str">
        <f t="shared" si="68"/>
        <v>OK</v>
      </c>
      <c r="Y153" s="43" t="str">
        <f t="shared" si="68"/>
        <v>OK</v>
      </c>
      <c r="Z153" s="43" t="str">
        <f t="shared" si="68"/>
        <v>OK</v>
      </c>
      <c r="AA153" s="43" t="str">
        <f t="shared" si="68"/>
        <v>OK</v>
      </c>
      <c r="AB153" s="43" t="str">
        <f t="shared" si="68"/>
        <v>OK</v>
      </c>
      <c r="AC153" s="43" t="str">
        <f t="shared" si="68"/>
        <v>OK</v>
      </c>
      <c r="AD153" s="43" t="str">
        <f t="shared" si="68"/>
        <v>OK</v>
      </c>
      <c r="AE153" s="43" t="str">
        <f t="shared" si="68"/>
        <v>OK</v>
      </c>
      <c r="AF153" s="43" t="str">
        <f t="shared" si="68"/>
        <v>OK</v>
      </c>
      <c r="AG153" s="43" t="str">
        <f t="shared" si="68"/>
        <v>OK</v>
      </c>
      <c r="AH153" s="43" t="str">
        <f t="shared" si="68"/>
        <v>OK</v>
      </c>
      <c r="AI153" s="43" t="str">
        <f t="shared" si="68"/>
        <v>OK</v>
      </c>
      <c r="AJ153" s="43" t="str">
        <f t="shared" si="68"/>
        <v>OK</v>
      </c>
      <c r="AK153" s="43" t="str">
        <f t="shared" si="68"/>
        <v>OK</v>
      </c>
      <c r="AL153" s="43" t="str">
        <f t="shared" si="68"/>
        <v>OK</v>
      </c>
      <c r="AM153" s="43" t="str">
        <f t="shared" si="68"/>
        <v>OK</v>
      </c>
      <c r="AN153" s="43" t="str">
        <f t="shared" si="68"/>
        <v>OK</v>
      </c>
      <c r="AO153" s="43" t="str">
        <f t="shared" si="68"/>
        <v>OK</v>
      </c>
      <c r="AP153" s="43" t="str">
        <f t="shared" si="68"/>
        <v>OK</v>
      </c>
      <c r="AQ153" s="43" t="str">
        <f t="shared" si="68"/>
        <v>OK</v>
      </c>
      <c r="AR153" s="43" t="str">
        <f t="shared" si="68"/>
        <v>OK</v>
      </c>
      <c r="AS153" s="43" t="str">
        <f t="shared" si="68"/>
        <v>OK</v>
      </c>
      <c r="AT153" s="43" t="str">
        <f t="shared" si="68"/>
        <v>OK</v>
      </c>
      <c r="AU153" s="43" t="str">
        <f t="shared" si="68"/>
        <v>OK</v>
      </c>
      <c r="AV153" s="43" t="str">
        <f t="shared" si="68"/>
        <v>OK</v>
      </c>
      <c r="AW153" s="43" t="str">
        <f t="shared" si="68"/>
        <v>OK</v>
      </c>
      <c r="AX153" s="43" t="str">
        <f t="shared" si="68"/>
        <v>OK</v>
      </c>
      <c r="AY153" s="43" t="str">
        <f t="shared" si="68"/>
        <v>OK</v>
      </c>
      <c r="AZ153" s="43" t="str">
        <f t="shared" si="68"/>
        <v>OK</v>
      </c>
      <c r="BA153" s="44" t="str">
        <f t="shared" si="68"/>
        <v>OK</v>
      </c>
    </row>
    <row r="154" spans="1:53" s="246" customFormat="1" outlineLevel="1">
      <c r="A154" s="244"/>
      <c r="B154" s="244"/>
      <c r="C154" s="241" t="s">
        <v>110</v>
      </c>
      <c r="D154" s="121" t="s">
        <v>110</v>
      </c>
      <c r="E154" s="245" t="s">
        <v>150</v>
      </c>
      <c r="F154" s="326" t="s">
        <v>27</v>
      </c>
      <c r="G154" s="242" t="s">
        <v>27</v>
      </c>
      <c r="H154" s="242" t="s">
        <v>27</v>
      </c>
      <c r="I154" s="242" t="s">
        <v>27</v>
      </c>
      <c r="J154" s="242" t="s">
        <v>27</v>
      </c>
      <c r="K154" s="242" t="s">
        <v>27</v>
      </c>
      <c r="L154" s="242" t="s">
        <v>27</v>
      </c>
      <c r="M154" s="327" t="s">
        <v>27</v>
      </c>
      <c r="N154" s="334" t="str">
        <f t="shared" ref="N154:BA154" si="69">IF(N18&gt;=N20,"OK","BŁĄD")</f>
        <v>OK</v>
      </c>
      <c r="O154" s="43" t="str">
        <f t="shared" si="69"/>
        <v>OK</v>
      </c>
      <c r="P154" s="43" t="str">
        <f t="shared" si="69"/>
        <v>OK</v>
      </c>
      <c r="Q154" s="43" t="str">
        <f t="shared" si="69"/>
        <v>OK</v>
      </c>
      <c r="R154" s="43" t="str">
        <f t="shared" si="69"/>
        <v>OK</v>
      </c>
      <c r="S154" s="43" t="str">
        <f t="shared" si="69"/>
        <v>OK</v>
      </c>
      <c r="T154" s="43" t="str">
        <f t="shared" si="69"/>
        <v>OK</v>
      </c>
      <c r="U154" s="43" t="str">
        <f t="shared" si="69"/>
        <v>OK</v>
      </c>
      <c r="V154" s="43" t="str">
        <f t="shared" si="69"/>
        <v>OK</v>
      </c>
      <c r="W154" s="43" t="str">
        <f t="shared" si="69"/>
        <v>OK</v>
      </c>
      <c r="X154" s="43" t="str">
        <f t="shared" si="69"/>
        <v>OK</v>
      </c>
      <c r="Y154" s="43" t="str">
        <f t="shared" si="69"/>
        <v>OK</v>
      </c>
      <c r="Z154" s="43" t="str">
        <f t="shared" si="69"/>
        <v>OK</v>
      </c>
      <c r="AA154" s="43" t="str">
        <f t="shared" si="69"/>
        <v>OK</v>
      </c>
      <c r="AB154" s="43" t="str">
        <f t="shared" si="69"/>
        <v>OK</v>
      </c>
      <c r="AC154" s="43" t="str">
        <f t="shared" si="69"/>
        <v>OK</v>
      </c>
      <c r="AD154" s="43" t="str">
        <f t="shared" si="69"/>
        <v>OK</v>
      </c>
      <c r="AE154" s="43" t="str">
        <f t="shared" si="69"/>
        <v>OK</v>
      </c>
      <c r="AF154" s="43" t="str">
        <f t="shared" si="69"/>
        <v>OK</v>
      </c>
      <c r="AG154" s="43" t="str">
        <f t="shared" si="69"/>
        <v>OK</v>
      </c>
      <c r="AH154" s="43" t="str">
        <f t="shared" si="69"/>
        <v>OK</v>
      </c>
      <c r="AI154" s="43" t="str">
        <f t="shared" si="69"/>
        <v>OK</v>
      </c>
      <c r="AJ154" s="43" t="str">
        <f t="shared" si="69"/>
        <v>OK</v>
      </c>
      <c r="AK154" s="43" t="str">
        <f t="shared" si="69"/>
        <v>OK</v>
      </c>
      <c r="AL154" s="43" t="str">
        <f t="shared" si="69"/>
        <v>OK</v>
      </c>
      <c r="AM154" s="43" t="str">
        <f t="shared" si="69"/>
        <v>OK</v>
      </c>
      <c r="AN154" s="43" t="str">
        <f t="shared" si="69"/>
        <v>OK</v>
      </c>
      <c r="AO154" s="43" t="str">
        <f t="shared" si="69"/>
        <v>OK</v>
      </c>
      <c r="AP154" s="43" t="str">
        <f t="shared" si="69"/>
        <v>OK</v>
      </c>
      <c r="AQ154" s="43" t="str">
        <f t="shared" si="69"/>
        <v>OK</v>
      </c>
      <c r="AR154" s="43" t="str">
        <f t="shared" si="69"/>
        <v>OK</v>
      </c>
      <c r="AS154" s="43" t="str">
        <f t="shared" si="69"/>
        <v>OK</v>
      </c>
      <c r="AT154" s="43" t="str">
        <f t="shared" si="69"/>
        <v>OK</v>
      </c>
      <c r="AU154" s="43" t="str">
        <f t="shared" si="69"/>
        <v>OK</v>
      </c>
      <c r="AV154" s="43" t="str">
        <f t="shared" si="69"/>
        <v>OK</v>
      </c>
      <c r="AW154" s="43" t="str">
        <f t="shared" si="69"/>
        <v>OK</v>
      </c>
      <c r="AX154" s="43" t="str">
        <f t="shared" si="69"/>
        <v>OK</v>
      </c>
      <c r="AY154" s="43" t="str">
        <f t="shared" si="69"/>
        <v>OK</v>
      </c>
      <c r="AZ154" s="43" t="str">
        <f t="shared" si="69"/>
        <v>OK</v>
      </c>
      <c r="BA154" s="44" t="str">
        <f t="shared" si="69"/>
        <v>OK</v>
      </c>
    </row>
    <row r="155" spans="1:53" s="246" customFormat="1" outlineLevel="1">
      <c r="A155" s="244"/>
      <c r="B155" s="244"/>
      <c r="C155" s="241" t="s">
        <v>111</v>
      </c>
      <c r="D155" s="121" t="s">
        <v>383</v>
      </c>
      <c r="E155" s="245" t="s">
        <v>382</v>
      </c>
      <c r="F155" s="326" t="s">
        <v>27</v>
      </c>
      <c r="G155" s="242" t="s">
        <v>27</v>
      </c>
      <c r="H155" s="242" t="s">
        <v>27</v>
      </c>
      <c r="I155" s="242" t="s">
        <v>27</v>
      </c>
      <c r="J155" s="242" t="s">
        <v>27</v>
      </c>
      <c r="K155" s="242" t="s">
        <v>27</v>
      </c>
      <c r="L155" s="242" t="s">
        <v>27</v>
      </c>
      <c r="M155" s="327" t="s">
        <v>27</v>
      </c>
      <c r="N155" s="334" t="str">
        <f t="shared" ref="N155:BA155" si="70">IF(N18&gt;=N81,"OK","BŁĄD")</f>
        <v>OK</v>
      </c>
      <c r="O155" s="43" t="str">
        <f t="shared" si="70"/>
        <v>OK</v>
      </c>
      <c r="P155" s="43" t="str">
        <f t="shared" si="70"/>
        <v>OK</v>
      </c>
      <c r="Q155" s="43" t="str">
        <f t="shared" si="70"/>
        <v>OK</v>
      </c>
      <c r="R155" s="43" t="str">
        <f t="shared" si="70"/>
        <v>OK</v>
      </c>
      <c r="S155" s="43" t="str">
        <f t="shared" si="70"/>
        <v>OK</v>
      </c>
      <c r="T155" s="43" t="str">
        <f t="shared" si="70"/>
        <v>OK</v>
      </c>
      <c r="U155" s="43" t="str">
        <f t="shared" si="70"/>
        <v>OK</v>
      </c>
      <c r="V155" s="43" t="str">
        <f t="shared" si="70"/>
        <v>OK</v>
      </c>
      <c r="W155" s="43" t="str">
        <f t="shared" si="70"/>
        <v>OK</v>
      </c>
      <c r="X155" s="43" t="str">
        <f t="shared" si="70"/>
        <v>OK</v>
      </c>
      <c r="Y155" s="43" t="str">
        <f t="shared" si="70"/>
        <v>OK</v>
      </c>
      <c r="Z155" s="43" t="str">
        <f t="shared" si="70"/>
        <v>OK</v>
      </c>
      <c r="AA155" s="43" t="str">
        <f t="shared" si="70"/>
        <v>OK</v>
      </c>
      <c r="AB155" s="43" t="str">
        <f t="shared" si="70"/>
        <v>OK</v>
      </c>
      <c r="AC155" s="43" t="str">
        <f t="shared" si="70"/>
        <v>OK</v>
      </c>
      <c r="AD155" s="43" t="str">
        <f t="shared" si="70"/>
        <v>OK</v>
      </c>
      <c r="AE155" s="43" t="str">
        <f t="shared" si="70"/>
        <v>OK</v>
      </c>
      <c r="AF155" s="43" t="str">
        <f t="shared" si="70"/>
        <v>OK</v>
      </c>
      <c r="AG155" s="43" t="str">
        <f t="shared" si="70"/>
        <v>OK</v>
      </c>
      <c r="AH155" s="43" t="str">
        <f t="shared" si="70"/>
        <v>OK</v>
      </c>
      <c r="AI155" s="43" t="str">
        <f t="shared" si="70"/>
        <v>OK</v>
      </c>
      <c r="AJ155" s="43" t="str">
        <f t="shared" si="70"/>
        <v>OK</v>
      </c>
      <c r="AK155" s="43" t="str">
        <f t="shared" si="70"/>
        <v>OK</v>
      </c>
      <c r="AL155" s="43" t="str">
        <f t="shared" si="70"/>
        <v>OK</v>
      </c>
      <c r="AM155" s="43" t="str">
        <f t="shared" si="70"/>
        <v>OK</v>
      </c>
      <c r="AN155" s="43" t="str">
        <f t="shared" si="70"/>
        <v>OK</v>
      </c>
      <c r="AO155" s="43" t="str">
        <f t="shared" si="70"/>
        <v>OK</v>
      </c>
      <c r="AP155" s="43" t="str">
        <f t="shared" si="70"/>
        <v>OK</v>
      </c>
      <c r="AQ155" s="43" t="str">
        <f t="shared" si="70"/>
        <v>OK</v>
      </c>
      <c r="AR155" s="43" t="str">
        <f t="shared" si="70"/>
        <v>OK</v>
      </c>
      <c r="AS155" s="43" t="str">
        <f t="shared" si="70"/>
        <v>OK</v>
      </c>
      <c r="AT155" s="43" t="str">
        <f t="shared" si="70"/>
        <v>OK</v>
      </c>
      <c r="AU155" s="43" t="str">
        <f t="shared" si="70"/>
        <v>OK</v>
      </c>
      <c r="AV155" s="43" t="str">
        <f t="shared" si="70"/>
        <v>OK</v>
      </c>
      <c r="AW155" s="43" t="str">
        <f t="shared" si="70"/>
        <v>OK</v>
      </c>
      <c r="AX155" s="43" t="str">
        <f t="shared" si="70"/>
        <v>OK</v>
      </c>
      <c r="AY155" s="43" t="str">
        <f t="shared" si="70"/>
        <v>OK</v>
      </c>
      <c r="AZ155" s="43" t="str">
        <f t="shared" si="70"/>
        <v>OK</v>
      </c>
      <c r="BA155" s="44" t="str">
        <f t="shared" si="70"/>
        <v>OK</v>
      </c>
    </row>
    <row r="156" spans="1:53" s="246" customFormat="1" outlineLevel="1">
      <c r="A156" s="244"/>
      <c r="B156" s="244"/>
      <c r="C156" s="241" t="s">
        <v>125</v>
      </c>
      <c r="D156" s="121" t="s">
        <v>125</v>
      </c>
      <c r="E156" s="245" t="s">
        <v>151</v>
      </c>
      <c r="F156" s="326" t="s">
        <v>27</v>
      </c>
      <c r="G156" s="242" t="s">
        <v>27</v>
      </c>
      <c r="H156" s="242" t="s">
        <v>27</v>
      </c>
      <c r="I156" s="242" t="s">
        <v>27</v>
      </c>
      <c r="J156" s="242" t="s">
        <v>27</v>
      </c>
      <c r="K156" s="242" t="s">
        <v>27</v>
      </c>
      <c r="L156" s="242" t="s">
        <v>27</v>
      </c>
      <c r="M156" s="327" t="s">
        <v>27</v>
      </c>
      <c r="N156" s="334" t="str">
        <f t="shared" ref="N156:BA156" si="71">IF(ROUND(N22-(N23+N24+N26),2)&gt;=0,"OK","BŁĄD")</f>
        <v>OK</v>
      </c>
      <c r="O156" s="43" t="str">
        <f t="shared" si="71"/>
        <v>OK</v>
      </c>
      <c r="P156" s="43" t="str">
        <f t="shared" si="71"/>
        <v>OK</v>
      </c>
      <c r="Q156" s="43" t="str">
        <f t="shared" si="71"/>
        <v>OK</v>
      </c>
      <c r="R156" s="43" t="str">
        <f t="shared" si="71"/>
        <v>OK</v>
      </c>
      <c r="S156" s="43" t="str">
        <f t="shared" si="71"/>
        <v>OK</v>
      </c>
      <c r="T156" s="43" t="str">
        <f t="shared" si="71"/>
        <v>OK</v>
      </c>
      <c r="U156" s="43" t="str">
        <f t="shared" si="71"/>
        <v>OK</v>
      </c>
      <c r="V156" s="43" t="str">
        <f t="shared" si="71"/>
        <v>OK</v>
      </c>
      <c r="W156" s="43" t="str">
        <f t="shared" si="71"/>
        <v>OK</v>
      </c>
      <c r="X156" s="43" t="str">
        <f t="shared" si="71"/>
        <v>OK</v>
      </c>
      <c r="Y156" s="43" t="str">
        <f t="shared" si="71"/>
        <v>OK</v>
      </c>
      <c r="Z156" s="43" t="str">
        <f t="shared" si="71"/>
        <v>OK</v>
      </c>
      <c r="AA156" s="43" t="str">
        <f t="shared" si="71"/>
        <v>OK</v>
      </c>
      <c r="AB156" s="43" t="str">
        <f t="shared" si="71"/>
        <v>OK</v>
      </c>
      <c r="AC156" s="43" t="str">
        <f t="shared" si="71"/>
        <v>OK</v>
      </c>
      <c r="AD156" s="43" t="str">
        <f t="shared" si="71"/>
        <v>OK</v>
      </c>
      <c r="AE156" s="43" t="str">
        <f t="shared" si="71"/>
        <v>OK</v>
      </c>
      <c r="AF156" s="43" t="str">
        <f t="shared" si="71"/>
        <v>OK</v>
      </c>
      <c r="AG156" s="43" t="str">
        <f t="shared" si="71"/>
        <v>OK</v>
      </c>
      <c r="AH156" s="43" t="str">
        <f t="shared" si="71"/>
        <v>OK</v>
      </c>
      <c r="AI156" s="43" t="str">
        <f t="shared" si="71"/>
        <v>OK</v>
      </c>
      <c r="AJ156" s="43" t="str">
        <f t="shared" si="71"/>
        <v>OK</v>
      </c>
      <c r="AK156" s="43" t="str">
        <f t="shared" si="71"/>
        <v>OK</v>
      </c>
      <c r="AL156" s="43" t="str">
        <f t="shared" si="71"/>
        <v>OK</v>
      </c>
      <c r="AM156" s="43" t="str">
        <f t="shared" si="71"/>
        <v>OK</v>
      </c>
      <c r="AN156" s="43" t="str">
        <f t="shared" si="71"/>
        <v>OK</v>
      </c>
      <c r="AO156" s="43" t="str">
        <f t="shared" si="71"/>
        <v>OK</v>
      </c>
      <c r="AP156" s="43" t="str">
        <f t="shared" si="71"/>
        <v>OK</v>
      </c>
      <c r="AQ156" s="43" t="str">
        <f t="shared" si="71"/>
        <v>OK</v>
      </c>
      <c r="AR156" s="43" t="str">
        <f t="shared" si="71"/>
        <v>OK</v>
      </c>
      <c r="AS156" s="43" t="str">
        <f t="shared" si="71"/>
        <v>OK</v>
      </c>
      <c r="AT156" s="43" t="str">
        <f t="shared" si="71"/>
        <v>OK</v>
      </c>
      <c r="AU156" s="43" t="str">
        <f t="shared" si="71"/>
        <v>OK</v>
      </c>
      <c r="AV156" s="43" t="str">
        <f t="shared" si="71"/>
        <v>OK</v>
      </c>
      <c r="AW156" s="43" t="str">
        <f t="shared" si="71"/>
        <v>OK</v>
      </c>
      <c r="AX156" s="43" t="str">
        <f t="shared" si="71"/>
        <v>OK</v>
      </c>
      <c r="AY156" s="43" t="str">
        <f t="shared" si="71"/>
        <v>OK</v>
      </c>
      <c r="AZ156" s="43" t="str">
        <f t="shared" si="71"/>
        <v>OK</v>
      </c>
      <c r="BA156" s="44" t="str">
        <f t="shared" si="71"/>
        <v>OK</v>
      </c>
    </row>
    <row r="157" spans="1:53" s="246" customFormat="1" outlineLevel="1">
      <c r="A157" s="244"/>
      <c r="B157" s="244"/>
      <c r="C157" s="241" t="s">
        <v>126</v>
      </c>
      <c r="D157" s="121" t="s">
        <v>386</v>
      </c>
      <c r="E157" s="245" t="s">
        <v>421</v>
      </c>
      <c r="F157" s="326" t="s">
        <v>27</v>
      </c>
      <c r="G157" s="242" t="s">
        <v>27</v>
      </c>
      <c r="H157" s="242" t="s">
        <v>27</v>
      </c>
      <c r="I157" s="242" t="s">
        <v>27</v>
      </c>
      <c r="J157" s="242" t="s">
        <v>27</v>
      </c>
      <c r="K157" s="242" t="s">
        <v>27</v>
      </c>
      <c r="L157" s="242" t="s">
        <v>27</v>
      </c>
      <c r="M157" s="327" t="s">
        <v>27</v>
      </c>
      <c r="N157" s="334" t="str">
        <f t="shared" ref="N157:BA157" si="72">IF(N22&gt;=N84,"OK","BŁĄD")</f>
        <v>OK</v>
      </c>
      <c r="O157" s="43" t="str">
        <f t="shared" si="72"/>
        <v>OK</v>
      </c>
      <c r="P157" s="43" t="str">
        <f t="shared" si="72"/>
        <v>OK</v>
      </c>
      <c r="Q157" s="43" t="str">
        <f t="shared" si="72"/>
        <v>OK</v>
      </c>
      <c r="R157" s="43" t="str">
        <f t="shared" si="72"/>
        <v>OK</v>
      </c>
      <c r="S157" s="43" t="str">
        <f t="shared" si="72"/>
        <v>OK</v>
      </c>
      <c r="T157" s="43" t="str">
        <f t="shared" si="72"/>
        <v>OK</v>
      </c>
      <c r="U157" s="43" t="str">
        <f t="shared" si="72"/>
        <v>OK</v>
      </c>
      <c r="V157" s="43" t="str">
        <f t="shared" si="72"/>
        <v>OK</v>
      </c>
      <c r="W157" s="43" t="str">
        <f t="shared" si="72"/>
        <v>OK</v>
      </c>
      <c r="X157" s="43" t="str">
        <f t="shared" si="72"/>
        <v>OK</v>
      </c>
      <c r="Y157" s="43" t="str">
        <f t="shared" si="72"/>
        <v>OK</v>
      </c>
      <c r="Z157" s="43" t="str">
        <f t="shared" si="72"/>
        <v>OK</v>
      </c>
      <c r="AA157" s="43" t="str">
        <f t="shared" si="72"/>
        <v>OK</v>
      </c>
      <c r="AB157" s="43" t="str">
        <f t="shared" si="72"/>
        <v>OK</v>
      </c>
      <c r="AC157" s="43" t="str">
        <f t="shared" si="72"/>
        <v>OK</v>
      </c>
      <c r="AD157" s="43" t="str">
        <f t="shared" si="72"/>
        <v>OK</v>
      </c>
      <c r="AE157" s="43" t="str">
        <f t="shared" si="72"/>
        <v>OK</v>
      </c>
      <c r="AF157" s="43" t="str">
        <f t="shared" si="72"/>
        <v>OK</v>
      </c>
      <c r="AG157" s="43" t="str">
        <f t="shared" si="72"/>
        <v>OK</v>
      </c>
      <c r="AH157" s="43" t="str">
        <f t="shared" si="72"/>
        <v>OK</v>
      </c>
      <c r="AI157" s="43" t="str">
        <f t="shared" si="72"/>
        <v>OK</v>
      </c>
      <c r="AJ157" s="43" t="str">
        <f t="shared" si="72"/>
        <v>OK</v>
      </c>
      <c r="AK157" s="43" t="str">
        <f t="shared" si="72"/>
        <v>OK</v>
      </c>
      <c r="AL157" s="43" t="str">
        <f t="shared" si="72"/>
        <v>OK</v>
      </c>
      <c r="AM157" s="43" t="str">
        <f t="shared" si="72"/>
        <v>OK</v>
      </c>
      <c r="AN157" s="43" t="str">
        <f t="shared" si="72"/>
        <v>OK</v>
      </c>
      <c r="AO157" s="43" t="str">
        <f t="shared" si="72"/>
        <v>OK</v>
      </c>
      <c r="AP157" s="43" t="str">
        <f t="shared" si="72"/>
        <v>OK</v>
      </c>
      <c r="AQ157" s="43" t="str">
        <f t="shared" si="72"/>
        <v>OK</v>
      </c>
      <c r="AR157" s="43" t="str">
        <f t="shared" si="72"/>
        <v>OK</v>
      </c>
      <c r="AS157" s="43" t="str">
        <f t="shared" si="72"/>
        <v>OK</v>
      </c>
      <c r="AT157" s="43" t="str">
        <f t="shared" si="72"/>
        <v>OK</v>
      </c>
      <c r="AU157" s="43" t="str">
        <f t="shared" si="72"/>
        <v>OK</v>
      </c>
      <c r="AV157" s="43" t="str">
        <f t="shared" si="72"/>
        <v>OK</v>
      </c>
      <c r="AW157" s="43" t="str">
        <f t="shared" si="72"/>
        <v>OK</v>
      </c>
      <c r="AX157" s="43" t="str">
        <f t="shared" si="72"/>
        <v>OK</v>
      </c>
      <c r="AY157" s="43" t="str">
        <f t="shared" si="72"/>
        <v>OK</v>
      </c>
      <c r="AZ157" s="43" t="str">
        <f t="shared" si="72"/>
        <v>OK</v>
      </c>
      <c r="BA157" s="44" t="str">
        <f t="shared" si="72"/>
        <v>OK</v>
      </c>
    </row>
    <row r="158" spans="1:53" s="246" customFormat="1" outlineLevel="1">
      <c r="A158" s="244"/>
      <c r="B158" s="244"/>
      <c r="C158" s="241" t="s">
        <v>127</v>
      </c>
      <c r="D158" s="121" t="s">
        <v>387</v>
      </c>
      <c r="E158" s="245" t="s">
        <v>422</v>
      </c>
      <c r="F158" s="326" t="s">
        <v>27</v>
      </c>
      <c r="G158" s="242" t="s">
        <v>27</v>
      </c>
      <c r="H158" s="242" t="s">
        <v>27</v>
      </c>
      <c r="I158" s="242" t="s">
        <v>27</v>
      </c>
      <c r="J158" s="242" t="s">
        <v>27</v>
      </c>
      <c r="K158" s="242" t="s">
        <v>27</v>
      </c>
      <c r="L158" s="242" t="s">
        <v>27</v>
      </c>
      <c r="M158" s="327" t="s">
        <v>27</v>
      </c>
      <c r="N158" s="334" t="str">
        <f t="shared" ref="N158:BA158" si="73">IF(N22&gt;=N92,"OK","BŁĄD")</f>
        <v>OK</v>
      </c>
      <c r="O158" s="43" t="str">
        <f t="shared" si="73"/>
        <v>OK</v>
      </c>
      <c r="P158" s="43" t="str">
        <f t="shared" si="73"/>
        <v>OK</v>
      </c>
      <c r="Q158" s="43" t="str">
        <f t="shared" si="73"/>
        <v>OK</v>
      </c>
      <c r="R158" s="43" t="str">
        <f t="shared" si="73"/>
        <v>OK</v>
      </c>
      <c r="S158" s="43" t="str">
        <f t="shared" si="73"/>
        <v>OK</v>
      </c>
      <c r="T158" s="43" t="str">
        <f t="shared" si="73"/>
        <v>OK</v>
      </c>
      <c r="U158" s="43" t="str">
        <f t="shared" si="73"/>
        <v>OK</v>
      </c>
      <c r="V158" s="43" t="str">
        <f t="shared" si="73"/>
        <v>OK</v>
      </c>
      <c r="W158" s="43" t="str">
        <f t="shared" si="73"/>
        <v>OK</v>
      </c>
      <c r="X158" s="43" t="str">
        <f t="shared" si="73"/>
        <v>OK</v>
      </c>
      <c r="Y158" s="43" t="str">
        <f t="shared" si="73"/>
        <v>OK</v>
      </c>
      <c r="Z158" s="43" t="str">
        <f t="shared" si="73"/>
        <v>OK</v>
      </c>
      <c r="AA158" s="43" t="str">
        <f t="shared" si="73"/>
        <v>OK</v>
      </c>
      <c r="AB158" s="43" t="str">
        <f t="shared" si="73"/>
        <v>OK</v>
      </c>
      <c r="AC158" s="43" t="str">
        <f t="shared" si="73"/>
        <v>OK</v>
      </c>
      <c r="AD158" s="43" t="str">
        <f t="shared" si="73"/>
        <v>OK</v>
      </c>
      <c r="AE158" s="43" t="str">
        <f t="shared" si="73"/>
        <v>OK</v>
      </c>
      <c r="AF158" s="43" t="str">
        <f t="shared" si="73"/>
        <v>OK</v>
      </c>
      <c r="AG158" s="43" t="str">
        <f t="shared" si="73"/>
        <v>OK</v>
      </c>
      <c r="AH158" s="43" t="str">
        <f t="shared" si="73"/>
        <v>OK</v>
      </c>
      <c r="AI158" s="43" t="str">
        <f t="shared" si="73"/>
        <v>OK</v>
      </c>
      <c r="AJ158" s="43" t="str">
        <f t="shared" si="73"/>
        <v>OK</v>
      </c>
      <c r="AK158" s="43" t="str">
        <f t="shared" si="73"/>
        <v>OK</v>
      </c>
      <c r="AL158" s="43" t="str">
        <f t="shared" si="73"/>
        <v>OK</v>
      </c>
      <c r="AM158" s="43" t="str">
        <f t="shared" si="73"/>
        <v>OK</v>
      </c>
      <c r="AN158" s="43" t="str">
        <f t="shared" si="73"/>
        <v>OK</v>
      </c>
      <c r="AO158" s="43" t="str">
        <f t="shared" si="73"/>
        <v>OK</v>
      </c>
      <c r="AP158" s="43" t="str">
        <f t="shared" si="73"/>
        <v>OK</v>
      </c>
      <c r="AQ158" s="43" t="str">
        <f t="shared" si="73"/>
        <v>OK</v>
      </c>
      <c r="AR158" s="43" t="str">
        <f t="shared" si="73"/>
        <v>OK</v>
      </c>
      <c r="AS158" s="43" t="str">
        <f t="shared" si="73"/>
        <v>OK</v>
      </c>
      <c r="AT158" s="43" t="str">
        <f t="shared" si="73"/>
        <v>OK</v>
      </c>
      <c r="AU158" s="43" t="str">
        <f t="shared" si="73"/>
        <v>OK</v>
      </c>
      <c r="AV158" s="43" t="str">
        <f t="shared" si="73"/>
        <v>OK</v>
      </c>
      <c r="AW158" s="43" t="str">
        <f t="shared" si="73"/>
        <v>OK</v>
      </c>
      <c r="AX158" s="43" t="str">
        <f t="shared" si="73"/>
        <v>OK</v>
      </c>
      <c r="AY158" s="43" t="str">
        <f t="shared" si="73"/>
        <v>OK</v>
      </c>
      <c r="AZ158" s="43" t="str">
        <f t="shared" si="73"/>
        <v>OK</v>
      </c>
      <c r="BA158" s="44" t="str">
        <f t="shared" si="73"/>
        <v>OK</v>
      </c>
    </row>
    <row r="159" spans="1:53" s="246" customFormat="1" outlineLevel="1">
      <c r="A159" s="244"/>
      <c r="B159" s="244"/>
      <c r="C159" s="241" t="s">
        <v>128</v>
      </c>
      <c r="D159" s="121" t="s">
        <v>388</v>
      </c>
      <c r="E159" s="245" t="s">
        <v>423</v>
      </c>
      <c r="F159" s="326" t="s">
        <v>27</v>
      </c>
      <c r="G159" s="242" t="s">
        <v>27</v>
      </c>
      <c r="H159" s="242" t="s">
        <v>27</v>
      </c>
      <c r="I159" s="242" t="s">
        <v>27</v>
      </c>
      <c r="J159" s="242" t="s">
        <v>27</v>
      </c>
      <c r="K159" s="242" t="s">
        <v>27</v>
      </c>
      <c r="L159" s="242" t="s">
        <v>27</v>
      </c>
      <c r="M159" s="327" t="s">
        <v>27</v>
      </c>
      <c r="N159" s="334" t="str">
        <f t="shared" ref="N159:BA159" si="74">IF(N22&gt;=N94,"OK","BŁĄD")</f>
        <v>OK</v>
      </c>
      <c r="O159" s="43" t="str">
        <f t="shared" si="74"/>
        <v>OK</v>
      </c>
      <c r="P159" s="43" t="str">
        <f t="shared" si="74"/>
        <v>OK</v>
      </c>
      <c r="Q159" s="43" t="str">
        <f t="shared" si="74"/>
        <v>OK</v>
      </c>
      <c r="R159" s="43" t="str">
        <f t="shared" si="74"/>
        <v>OK</v>
      </c>
      <c r="S159" s="43" t="str">
        <f t="shared" si="74"/>
        <v>OK</v>
      </c>
      <c r="T159" s="43" t="str">
        <f t="shared" si="74"/>
        <v>OK</v>
      </c>
      <c r="U159" s="43" t="str">
        <f t="shared" si="74"/>
        <v>OK</v>
      </c>
      <c r="V159" s="43" t="str">
        <f t="shared" si="74"/>
        <v>OK</v>
      </c>
      <c r="W159" s="43" t="str">
        <f t="shared" si="74"/>
        <v>OK</v>
      </c>
      <c r="X159" s="43" t="str">
        <f t="shared" si="74"/>
        <v>OK</v>
      </c>
      <c r="Y159" s="43" t="str">
        <f t="shared" si="74"/>
        <v>OK</v>
      </c>
      <c r="Z159" s="43" t="str">
        <f t="shared" si="74"/>
        <v>OK</v>
      </c>
      <c r="AA159" s="43" t="str">
        <f t="shared" si="74"/>
        <v>OK</v>
      </c>
      <c r="AB159" s="43" t="str">
        <f t="shared" si="74"/>
        <v>OK</v>
      </c>
      <c r="AC159" s="43" t="str">
        <f t="shared" si="74"/>
        <v>OK</v>
      </c>
      <c r="AD159" s="43" t="str">
        <f t="shared" si="74"/>
        <v>OK</v>
      </c>
      <c r="AE159" s="43" t="str">
        <f t="shared" si="74"/>
        <v>OK</v>
      </c>
      <c r="AF159" s="43" t="str">
        <f t="shared" si="74"/>
        <v>OK</v>
      </c>
      <c r="AG159" s="43" t="str">
        <f t="shared" si="74"/>
        <v>OK</v>
      </c>
      <c r="AH159" s="43" t="str">
        <f t="shared" si="74"/>
        <v>OK</v>
      </c>
      <c r="AI159" s="43" t="str">
        <f t="shared" si="74"/>
        <v>OK</v>
      </c>
      <c r="AJ159" s="43" t="str">
        <f t="shared" si="74"/>
        <v>OK</v>
      </c>
      <c r="AK159" s="43" t="str">
        <f t="shared" si="74"/>
        <v>OK</v>
      </c>
      <c r="AL159" s="43" t="str">
        <f t="shared" si="74"/>
        <v>OK</v>
      </c>
      <c r="AM159" s="43" t="str">
        <f t="shared" si="74"/>
        <v>OK</v>
      </c>
      <c r="AN159" s="43" t="str">
        <f t="shared" si="74"/>
        <v>OK</v>
      </c>
      <c r="AO159" s="43" t="str">
        <f t="shared" si="74"/>
        <v>OK</v>
      </c>
      <c r="AP159" s="43" t="str">
        <f t="shared" si="74"/>
        <v>OK</v>
      </c>
      <c r="AQ159" s="43" t="str">
        <f t="shared" si="74"/>
        <v>OK</v>
      </c>
      <c r="AR159" s="43" t="str">
        <f t="shared" si="74"/>
        <v>OK</v>
      </c>
      <c r="AS159" s="43" t="str">
        <f t="shared" si="74"/>
        <v>OK</v>
      </c>
      <c r="AT159" s="43" t="str">
        <f t="shared" si="74"/>
        <v>OK</v>
      </c>
      <c r="AU159" s="43" t="str">
        <f t="shared" si="74"/>
        <v>OK</v>
      </c>
      <c r="AV159" s="43" t="str">
        <f t="shared" si="74"/>
        <v>OK</v>
      </c>
      <c r="AW159" s="43" t="str">
        <f t="shared" si="74"/>
        <v>OK</v>
      </c>
      <c r="AX159" s="43" t="str">
        <f t="shared" si="74"/>
        <v>OK</v>
      </c>
      <c r="AY159" s="43" t="str">
        <f t="shared" si="74"/>
        <v>OK</v>
      </c>
      <c r="AZ159" s="43" t="str">
        <f t="shared" si="74"/>
        <v>OK</v>
      </c>
      <c r="BA159" s="44" t="str">
        <f t="shared" si="74"/>
        <v>OK</v>
      </c>
    </row>
    <row r="160" spans="1:53" s="246" customFormat="1" outlineLevel="1">
      <c r="A160" s="244"/>
      <c r="B160" s="244"/>
      <c r="C160" s="241" t="s">
        <v>129</v>
      </c>
      <c r="D160" s="121" t="s">
        <v>389</v>
      </c>
      <c r="E160" s="245" t="s">
        <v>424</v>
      </c>
      <c r="F160" s="326" t="s">
        <v>27</v>
      </c>
      <c r="G160" s="242" t="s">
        <v>27</v>
      </c>
      <c r="H160" s="242" t="s">
        <v>27</v>
      </c>
      <c r="I160" s="242" t="s">
        <v>27</v>
      </c>
      <c r="J160" s="242" t="s">
        <v>27</v>
      </c>
      <c r="K160" s="242" t="s">
        <v>27</v>
      </c>
      <c r="L160" s="242" t="s">
        <v>27</v>
      </c>
      <c r="M160" s="327" t="s">
        <v>27</v>
      </c>
      <c r="N160" s="334" t="str">
        <f t="shared" ref="N160:BA160" si="75">IF(N22&gt;=N95,"OK","BŁĄD")</f>
        <v>OK</v>
      </c>
      <c r="O160" s="43" t="str">
        <f t="shared" si="75"/>
        <v>OK</v>
      </c>
      <c r="P160" s="43" t="str">
        <f t="shared" si="75"/>
        <v>OK</v>
      </c>
      <c r="Q160" s="43" t="str">
        <f t="shared" si="75"/>
        <v>OK</v>
      </c>
      <c r="R160" s="43" t="str">
        <f t="shared" si="75"/>
        <v>OK</v>
      </c>
      <c r="S160" s="43" t="str">
        <f t="shared" si="75"/>
        <v>OK</v>
      </c>
      <c r="T160" s="43" t="str">
        <f t="shared" si="75"/>
        <v>OK</v>
      </c>
      <c r="U160" s="43" t="str">
        <f t="shared" si="75"/>
        <v>OK</v>
      </c>
      <c r="V160" s="43" t="str">
        <f t="shared" si="75"/>
        <v>OK</v>
      </c>
      <c r="W160" s="43" t="str">
        <f t="shared" si="75"/>
        <v>OK</v>
      </c>
      <c r="X160" s="43" t="str">
        <f t="shared" si="75"/>
        <v>OK</v>
      </c>
      <c r="Y160" s="43" t="str">
        <f t="shared" si="75"/>
        <v>OK</v>
      </c>
      <c r="Z160" s="43" t="str">
        <f t="shared" si="75"/>
        <v>OK</v>
      </c>
      <c r="AA160" s="43" t="str">
        <f t="shared" si="75"/>
        <v>OK</v>
      </c>
      <c r="AB160" s="43" t="str">
        <f t="shared" si="75"/>
        <v>OK</v>
      </c>
      <c r="AC160" s="43" t="str">
        <f t="shared" si="75"/>
        <v>OK</v>
      </c>
      <c r="AD160" s="43" t="str">
        <f t="shared" si="75"/>
        <v>OK</v>
      </c>
      <c r="AE160" s="43" t="str">
        <f t="shared" si="75"/>
        <v>OK</v>
      </c>
      <c r="AF160" s="43" t="str">
        <f t="shared" si="75"/>
        <v>OK</v>
      </c>
      <c r="AG160" s="43" t="str">
        <f t="shared" si="75"/>
        <v>OK</v>
      </c>
      <c r="AH160" s="43" t="str">
        <f t="shared" si="75"/>
        <v>OK</v>
      </c>
      <c r="AI160" s="43" t="str">
        <f t="shared" si="75"/>
        <v>OK</v>
      </c>
      <c r="AJ160" s="43" t="str">
        <f t="shared" si="75"/>
        <v>OK</v>
      </c>
      <c r="AK160" s="43" t="str">
        <f t="shared" si="75"/>
        <v>OK</v>
      </c>
      <c r="AL160" s="43" t="str">
        <f t="shared" si="75"/>
        <v>OK</v>
      </c>
      <c r="AM160" s="43" t="str">
        <f t="shared" si="75"/>
        <v>OK</v>
      </c>
      <c r="AN160" s="43" t="str">
        <f t="shared" si="75"/>
        <v>OK</v>
      </c>
      <c r="AO160" s="43" t="str">
        <f t="shared" si="75"/>
        <v>OK</v>
      </c>
      <c r="AP160" s="43" t="str">
        <f t="shared" si="75"/>
        <v>OK</v>
      </c>
      <c r="AQ160" s="43" t="str">
        <f t="shared" si="75"/>
        <v>OK</v>
      </c>
      <c r="AR160" s="43" t="str">
        <f t="shared" si="75"/>
        <v>OK</v>
      </c>
      <c r="AS160" s="43" t="str">
        <f t="shared" si="75"/>
        <v>OK</v>
      </c>
      <c r="AT160" s="43" t="str">
        <f t="shared" si="75"/>
        <v>OK</v>
      </c>
      <c r="AU160" s="43" t="str">
        <f t="shared" si="75"/>
        <v>OK</v>
      </c>
      <c r="AV160" s="43" t="str">
        <f t="shared" si="75"/>
        <v>OK</v>
      </c>
      <c r="AW160" s="43" t="str">
        <f t="shared" si="75"/>
        <v>OK</v>
      </c>
      <c r="AX160" s="43" t="str">
        <f t="shared" si="75"/>
        <v>OK</v>
      </c>
      <c r="AY160" s="43" t="str">
        <f t="shared" si="75"/>
        <v>OK</v>
      </c>
      <c r="AZ160" s="43" t="str">
        <f t="shared" si="75"/>
        <v>OK</v>
      </c>
      <c r="BA160" s="44" t="str">
        <f t="shared" si="75"/>
        <v>OK</v>
      </c>
    </row>
    <row r="161" spans="1:53" s="246" customFormat="1" outlineLevel="1">
      <c r="A161" s="244"/>
      <c r="B161" s="244"/>
      <c r="C161" s="241" t="s">
        <v>129</v>
      </c>
      <c r="D161" s="121" t="s">
        <v>390</v>
      </c>
      <c r="E161" s="245" t="s">
        <v>425</v>
      </c>
      <c r="F161" s="326" t="s">
        <v>27</v>
      </c>
      <c r="G161" s="242" t="s">
        <v>27</v>
      </c>
      <c r="H161" s="242" t="s">
        <v>27</v>
      </c>
      <c r="I161" s="242" t="s">
        <v>27</v>
      </c>
      <c r="J161" s="242" t="s">
        <v>27</v>
      </c>
      <c r="K161" s="242" t="s">
        <v>27</v>
      </c>
      <c r="L161" s="242" t="s">
        <v>27</v>
      </c>
      <c r="M161" s="327" t="s">
        <v>27</v>
      </c>
      <c r="N161" s="334" t="str">
        <f t="shared" ref="N161:BA161" si="76">IF(N22&gt;=N103,"OK","BŁĄD")</f>
        <v>OK</v>
      </c>
      <c r="O161" s="43" t="str">
        <f t="shared" si="76"/>
        <v>OK</v>
      </c>
      <c r="P161" s="43" t="str">
        <f t="shared" si="76"/>
        <v>OK</v>
      </c>
      <c r="Q161" s="43" t="str">
        <f t="shared" si="76"/>
        <v>OK</v>
      </c>
      <c r="R161" s="43" t="str">
        <f t="shared" si="76"/>
        <v>OK</v>
      </c>
      <c r="S161" s="43" t="str">
        <f t="shared" si="76"/>
        <v>OK</v>
      </c>
      <c r="T161" s="43" t="str">
        <f t="shared" si="76"/>
        <v>OK</v>
      </c>
      <c r="U161" s="43" t="str">
        <f t="shared" si="76"/>
        <v>OK</v>
      </c>
      <c r="V161" s="43" t="str">
        <f t="shared" si="76"/>
        <v>OK</v>
      </c>
      <c r="W161" s="43" t="str">
        <f t="shared" si="76"/>
        <v>OK</v>
      </c>
      <c r="X161" s="43" t="str">
        <f t="shared" si="76"/>
        <v>OK</v>
      </c>
      <c r="Y161" s="43" t="str">
        <f t="shared" si="76"/>
        <v>OK</v>
      </c>
      <c r="Z161" s="43" t="str">
        <f t="shared" si="76"/>
        <v>OK</v>
      </c>
      <c r="AA161" s="43" t="str">
        <f t="shared" si="76"/>
        <v>OK</v>
      </c>
      <c r="AB161" s="43" t="str">
        <f t="shared" si="76"/>
        <v>OK</v>
      </c>
      <c r="AC161" s="43" t="str">
        <f t="shared" si="76"/>
        <v>OK</v>
      </c>
      <c r="AD161" s="43" t="str">
        <f t="shared" si="76"/>
        <v>OK</v>
      </c>
      <c r="AE161" s="43" t="str">
        <f t="shared" si="76"/>
        <v>OK</v>
      </c>
      <c r="AF161" s="43" t="str">
        <f t="shared" si="76"/>
        <v>OK</v>
      </c>
      <c r="AG161" s="43" t="str">
        <f t="shared" si="76"/>
        <v>OK</v>
      </c>
      <c r="AH161" s="43" t="str">
        <f t="shared" si="76"/>
        <v>OK</v>
      </c>
      <c r="AI161" s="43" t="str">
        <f t="shared" si="76"/>
        <v>OK</v>
      </c>
      <c r="AJ161" s="43" t="str">
        <f t="shared" si="76"/>
        <v>OK</v>
      </c>
      <c r="AK161" s="43" t="str">
        <f t="shared" si="76"/>
        <v>OK</v>
      </c>
      <c r="AL161" s="43" t="str">
        <f t="shared" si="76"/>
        <v>OK</v>
      </c>
      <c r="AM161" s="43" t="str">
        <f t="shared" si="76"/>
        <v>OK</v>
      </c>
      <c r="AN161" s="43" t="str">
        <f t="shared" si="76"/>
        <v>OK</v>
      </c>
      <c r="AO161" s="43" t="str">
        <f t="shared" si="76"/>
        <v>OK</v>
      </c>
      <c r="AP161" s="43" t="str">
        <f t="shared" si="76"/>
        <v>OK</v>
      </c>
      <c r="AQ161" s="43" t="str">
        <f t="shared" si="76"/>
        <v>OK</v>
      </c>
      <c r="AR161" s="43" t="str">
        <f t="shared" si="76"/>
        <v>OK</v>
      </c>
      <c r="AS161" s="43" t="str">
        <f t="shared" si="76"/>
        <v>OK</v>
      </c>
      <c r="AT161" s="43" t="str">
        <f t="shared" si="76"/>
        <v>OK</v>
      </c>
      <c r="AU161" s="43" t="str">
        <f t="shared" si="76"/>
        <v>OK</v>
      </c>
      <c r="AV161" s="43" t="str">
        <f t="shared" si="76"/>
        <v>OK</v>
      </c>
      <c r="AW161" s="43" t="str">
        <f t="shared" si="76"/>
        <v>OK</v>
      </c>
      <c r="AX161" s="43" t="str">
        <f t="shared" si="76"/>
        <v>OK</v>
      </c>
      <c r="AY161" s="43" t="str">
        <f t="shared" si="76"/>
        <v>OK</v>
      </c>
      <c r="AZ161" s="43" t="str">
        <f t="shared" si="76"/>
        <v>OK</v>
      </c>
      <c r="BA161" s="44" t="str">
        <f t="shared" si="76"/>
        <v>OK</v>
      </c>
    </row>
    <row r="162" spans="1:53" s="246" customFormat="1" outlineLevel="1">
      <c r="A162" s="244"/>
      <c r="B162" s="244"/>
      <c r="C162" s="241" t="s">
        <v>129</v>
      </c>
      <c r="D162" s="121" t="s">
        <v>391</v>
      </c>
      <c r="E162" s="245" t="s">
        <v>426</v>
      </c>
      <c r="F162" s="326" t="s">
        <v>27</v>
      </c>
      <c r="G162" s="242" t="s">
        <v>27</v>
      </c>
      <c r="H162" s="242" t="s">
        <v>27</v>
      </c>
      <c r="I162" s="242" t="s">
        <v>27</v>
      </c>
      <c r="J162" s="242" t="s">
        <v>27</v>
      </c>
      <c r="K162" s="242" t="s">
        <v>27</v>
      </c>
      <c r="L162" s="242" t="s">
        <v>27</v>
      </c>
      <c r="M162" s="327" t="s">
        <v>27</v>
      </c>
      <c r="N162" s="334" t="str">
        <f t="shared" ref="N162:BA162" si="77">IF(N22&gt;=N112,"OK","BŁĄD")</f>
        <v>OK</v>
      </c>
      <c r="O162" s="43" t="str">
        <f t="shared" si="77"/>
        <v>OK</v>
      </c>
      <c r="P162" s="43" t="str">
        <f t="shared" si="77"/>
        <v>OK</v>
      </c>
      <c r="Q162" s="43" t="str">
        <f t="shared" si="77"/>
        <v>OK</v>
      </c>
      <c r="R162" s="43" t="str">
        <f t="shared" si="77"/>
        <v>OK</v>
      </c>
      <c r="S162" s="43" t="str">
        <f t="shared" si="77"/>
        <v>OK</v>
      </c>
      <c r="T162" s="43" t="str">
        <f t="shared" si="77"/>
        <v>OK</v>
      </c>
      <c r="U162" s="43" t="str">
        <f t="shared" si="77"/>
        <v>OK</v>
      </c>
      <c r="V162" s="43" t="str">
        <f t="shared" si="77"/>
        <v>OK</v>
      </c>
      <c r="W162" s="43" t="str">
        <f t="shared" si="77"/>
        <v>OK</v>
      </c>
      <c r="X162" s="43" t="str">
        <f t="shared" si="77"/>
        <v>OK</v>
      </c>
      <c r="Y162" s="43" t="str">
        <f t="shared" si="77"/>
        <v>OK</v>
      </c>
      <c r="Z162" s="43" t="str">
        <f t="shared" si="77"/>
        <v>OK</v>
      </c>
      <c r="AA162" s="43" t="str">
        <f t="shared" si="77"/>
        <v>OK</v>
      </c>
      <c r="AB162" s="43" t="str">
        <f t="shared" si="77"/>
        <v>OK</v>
      </c>
      <c r="AC162" s="43" t="str">
        <f t="shared" si="77"/>
        <v>OK</v>
      </c>
      <c r="AD162" s="43" t="str">
        <f t="shared" si="77"/>
        <v>OK</v>
      </c>
      <c r="AE162" s="43" t="str">
        <f t="shared" si="77"/>
        <v>OK</v>
      </c>
      <c r="AF162" s="43" t="str">
        <f t="shared" si="77"/>
        <v>OK</v>
      </c>
      <c r="AG162" s="43" t="str">
        <f t="shared" si="77"/>
        <v>OK</v>
      </c>
      <c r="AH162" s="43" t="str">
        <f t="shared" si="77"/>
        <v>OK</v>
      </c>
      <c r="AI162" s="43" t="str">
        <f t="shared" si="77"/>
        <v>OK</v>
      </c>
      <c r="AJ162" s="43" t="str">
        <f t="shared" si="77"/>
        <v>OK</v>
      </c>
      <c r="AK162" s="43" t="str">
        <f t="shared" si="77"/>
        <v>OK</v>
      </c>
      <c r="AL162" s="43" t="str">
        <f t="shared" si="77"/>
        <v>OK</v>
      </c>
      <c r="AM162" s="43" t="str">
        <f t="shared" si="77"/>
        <v>OK</v>
      </c>
      <c r="AN162" s="43" t="str">
        <f t="shared" si="77"/>
        <v>OK</v>
      </c>
      <c r="AO162" s="43" t="str">
        <f t="shared" si="77"/>
        <v>OK</v>
      </c>
      <c r="AP162" s="43" t="str">
        <f t="shared" si="77"/>
        <v>OK</v>
      </c>
      <c r="AQ162" s="43" t="str">
        <f t="shared" si="77"/>
        <v>OK</v>
      </c>
      <c r="AR162" s="43" t="str">
        <f t="shared" si="77"/>
        <v>OK</v>
      </c>
      <c r="AS162" s="43" t="str">
        <f t="shared" si="77"/>
        <v>OK</v>
      </c>
      <c r="AT162" s="43" t="str">
        <f t="shared" si="77"/>
        <v>OK</v>
      </c>
      <c r="AU162" s="43" t="str">
        <f t="shared" si="77"/>
        <v>OK</v>
      </c>
      <c r="AV162" s="43" t="str">
        <f t="shared" si="77"/>
        <v>OK</v>
      </c>
      <c r="AW162" s="43" t="str">
        <f t="shared" si="77"/>
        <v>OK</v>
      </c>
      <c r="AX162" s="43" t="str">
        <f t="shared" si="77"/>
        <v>OK</v>
      </c>
      <c r="AY162" s="43" t="str">
        <f t="shared" si="77"/>
        <v>OK</v>
      </c>
      <c r="AZ162" s="43" t="str">
        <f t="shared" si="77"/>
        <v>OK</v>
      </c>
      <c r="BA162" s="44" t="str">
        <f t="shared" si="77"/>
        <v>OK</v>
      </c>
    </row>
    <row r="163" spans="1:53" s="246" customFormat="1" outlineLevel="1">
      <c r="A163" s="244"/>
      <c r="B163" s="244"/>
      <c r="C163" s="241" t="s">
        <v>123</v>
      </c>
      <c r="D163" s="121" t="s">
        <v>392</v>
      </c>
      <c r="E163" s="245" t="s">
        <v>427</v>
      </c>
      <c r="F163" s="326" t="s">
        <v>27</v>
      </c>
      <c r="G163" s="242" t="s">
        <v>27</v>
      </c>
      <c r="H163" s="242" t="s">
        <v>27</v>
      </c>
      <c r="I163" s="242" t="s">
        <v>27</v>
      </c>
      <c r="J163" s="242" t="s">
        <v>27</v>
      </c>
      <c r="K163" s="242" t="s">
        <v>27</v>
      </c>
      <c r="L163" s="242" t="s">
        <v>27</v>
      </c>
      <c r="M163" s="327" t="s">
        <v>27</v>
      </c>
      <c r="N163" s="334" t="str">
        <f t="shared" ref="N163:BA163" si="78">IF(N24&gt;=N25,"OK","BŁĄD")</f>
        <v>OK</v>
      </c>
      <c r="O163" s="43" t="str">
        <f t="shared" si="78"/>
        <v>OK</v>
      </c>
      <c r="P163" s="43" t="str">
        <f t="shared" si="78"/>
        <v>OK</v>
      </c>
      <c r="Q163" s="43" t="str">
        <f t="shared" si="78"/>
        <v>OK</v>
      </c>
      <c r="R163" s="43" t="str">
        <f t="shared" si="78"/>
        <v>OK</v>
      </c>
      <c r="S163" s="43" t="str">
        <f t="shared" si="78"/>
        <v>OK</v>
      </c>
      <c r="T163" s="43" t="str">
        <f t="shared" si="78"/>
        <v>OK</v>
      </c>
      <c r="U163" s="43" t="str">
        <f t="shared" si="78"/>
        <v>OK</v>
      </c>
      <c r="V163" s="43" t="str">
        <f t="shared" si="78"/>
        <v>OK</v>
      </c>
      <c r="W163" s="43" t="str">
        <f t="shared" si="78"/>
        <v>OK</v>
      </c>
      <c r="X163" s="43" t="str">
        <f t="shared" si="78"/>
        <v>OK</v>
      </c>
      <c r="Y163" s="43" t="str">
        <f t="shared" si="78"/>
        <v>OK</v>
      </c>
      <c r="Z163" s="43" t="str">
        <f t="shared" si="78"/>
        <v>OK</v>
      </c>
      <c r="AA163" s="43" t="str">
        <f t="shared" si="78"/>
        <v>OK</v>
      </c>
      <c r="AB163" s="43" t="str">
        <f t="shared" si="78"/>
        <v>OK</v>
      </c>
      <c r="AC163" s="43" t="str">
        <f t="shared" si="78"/>
        <v>OK</v>
      </c>
      <c r="AD163" s="43" t="str">
        <f t="shared" si="78"/>
        <v>OK</v>
      </c>
      <c r="AE163" s="43" t="str">
        <f t="shared" si="78"/>
        <v>OK</v>
      </c>
      <c r="AF163" s="43" t="str">
        <f t="shared" si="78"/>
        <v>OK</v>
      </c>
      <c r="AG163" s="43" t="str">
        <f t="shared" si="78"/>
        <v>OK</v>
      </c>
      <c r="AH163" s="43" t="str">
        <f t="shared" si="78"/>
        <v>OK</v>
      </c>
      <c r="AI163" s="43" t="str">
        <f t="shared" si="78"/>
        <v>OK</v>
      </c>
      <c r="AJ163" s="43" t="str">
        <f t="shared" si="78"/>
        <v>OK</v>
      </c>
      <c r="AK163" s="43" t="str">
        <f t="shared" si="78"/>
        <v>OK</v>
      </c>
      <c r="AL163" s="43" t="str">
        <f t="shared" si="78"/>
        <v>OK</v>
      </c>
      <c r="AM163" s="43" t="str">
        <f t="shared" si="78"/>
        <v>OK</v>
      </c>
      <c r="AN163" s="43" t="str">
        <f t="shared" si="78"/>
        <v>OK</v>
      </c>
      <c r="AO163" s="43" t="str">
        <f t="shared" si="78"/>
        <v>OK</v>
      </c>
      <c r="AP163" s="43" t="str">
        <f t="shared" si="78"/>
        <v>OK</v>
      </c>
      <c r="AQ163" s="43" t="str">
        <f t="shared" si="78"/>
        <v>OK</v>
      </c>
      <c r="AR163" s="43" t="str">
        <f t="shared" si="78"/>
        <v>OK</v>
      </c>
      <c r="AS163" s="43" t="str">
        <f t="shared" si="78"/>
        <v>OK</v>
      </c>
      <c r="AT163" s="43" t="str">
        <f t="shared" si="78"/>
        <v>OK</v>
      </c>
      <c r="AU163" s="43" t="str">
        <f t="shared" si="78"/>
        <v>OK</v>
      </c>
      <c r="AV163" s="43" t="str">
        <f t="shared" si="78"/>
        <v>OK</v>
      </c>
      <c r="AW163" s="43" t="str">
        <f t="shared" si="78"/>
        <v>OK</v>
      </c>
      <c r="AX163" s="43" t="str">
        <f t="shared" si="78"/>
        <v>OK</v>
      </c>
      <c r="AY163" s="43" t="str">
        <f t="shared" si="78"/>
        <v>OK</v>
      </c>
      <c r="AZ163" s="43" t="str">
        <f t="shared" si="78"/>
        <v>OK</v>
      </c>
      <c r="BA163" s="44" t="str">
        <f t="shared" si="78"/>
        <v>OK</v>
      </c>
    </row>
    <row r="164" spans="1:53" s="246" customFormat="1" outlineLevel="1">
      <c r="A164" s="244"/>
      <c r="B164" s="244"/>
      <c r="C164" s="241" t="s">
        <v>122</v>
      </c>
      <c r="D164" s="121" t="s">
        <v>393</v>
      </c>
      <c r="E164" s="245" t="s">
        <v>428</v>
      </c>
      <c r="F164" s="326" t="s">
        <v>27</v>
      </c>
      <c r="G164" s="242" t="s">
        <v>27</v>
      </c>
      <c r="H164" s="242" t="s">
        <v>27</v>
      </c>
      <c r="I164" s="242" t="s">
        <v>27</v>
      </c>
      <c r="J164" s="242" t="s">
        <v>27</v>
      </c>
      <c r="K164" s="242" t="s">
        <v>27</v>
      </c>
      <c r="L164" s="242" t="s">
        <v>27</v>
      </c>
      <c r="M164" s="327" t="s">
        <v>27</v>
      </c>
      <c r="N164" s="334" t="str">
        <f t="shared" ref="N164:BA164" si="79">IF(N24&gt;=N104,"OK","BŁĄD")</f>
        <v>OK</v>
      </c>
      <c r="O164" s="43" t="str">
        <f t="shared" si="79"/>
        <v>OK</v>
      </c>
      <c r="P164" s="43" t="str">
        <f t="shared" si="79"/>
        <v>OK</v>
      </c>
      <c r="Q164" s="43" t="str">
        <f t="shared" si="79"/>
        <v>OK</v>
      </c>
      <c r="R164" s="43" t="str">
        <f t="shared" si="79"/>
        <v>OK</v>
      </c>
      <c r="S164" s="43" t="str">
        <f t="shared" si="79"/>
        <v>OK</v>
      </c>
      <c r="T164" s="43" t="str">
        <f t="shared" si="79"/>
        <v>OK</v>
      </c>
      <c r="U164" s="43" t="str">
        <f t="shared" si="79"/>
        <v>OK</v>
      </c>
      <c r="V164" s="43" t="str">
        <f t="shared" si="79"/>
        <v>OK</v>
      </c>
      <c r="W164" s="43" t="str">
        <f t="shared" si="79"/>
        <v>OK</v>
      </c>
      <c r="X164" s="43" t="str">
        <f t="shared" si="79"/>
        <v>OK</v>
      </c>
      <c r="Y164" s="43" t="str">
        <f t="shared" si="79"/>
        <v>OK</v>
      </c>
      <c r="Z164" s="43" t="str">
        <f t="shared" si="79"/>
        <v>OK</v>
      </c>
      <c r="AA164" s="43" t="str">
        <f t="shared" si="79"/>
        <v>OK</v>
      </c>
      <c r="AB164" s="43" t="str">
        <f t="shared" si="79"/>
        <v>OK</v>
      </c>
      <c r="AC164" s="43" t="str">
        <f t="shared" si="79"/>
        <v>OK</v>
      </c>
      <c r="AD164" s="43" t="str">
        <f t="shared" si="79"/>
        <v>OK</v>
      </c>
      <c r="AE164" s="43" t="str">
        <f t="shared" si="79"/>
        <v>OK</v>
      </c>
      <c r="AF164" s="43" t="str">
        <f t="shared" si="79"/>
        <v>OK</v>
      </c>
      <c r="AG164" s="43" t="str">
        <f t="shared" si="79"/>
        <v>OK</v>
      </c>
      <c r="AH164" s="43" t="str">
        <f t="shared" si="79"/>
        <v>OK</v>
      </c>
      <c r="AI164" s="43" t="str">
        <f t="shared" si="79"/>
        <v>OK</v>
      </c>
      <c r="AJ164" s="43" t="str">
        <f t="shared" si="79"/>
        <v>OK</v>
      </c>
      <c r="AK164" s="43" t="str">
        <f t="shared" si="79"/>
        <v>OK</v>
      </c>
      <c r="AL164" s="43" t="str">
        <f t="shared" si="79"/>
        <v>OK</v>
      </c>
      <c r="AM164" s="43" t="str">
        <f t="shared" si="79"/>
        <v>OK</v>
      </c>
      <c r="AN164" s="43" t="str">
        <f t="shared" si="79"/>
        <v>OK</v>
      </c>
      <c r="AO164" s="43" t="str">
        <f t="shared" si="79"/>
        <v>OK</v>
      </c>
      <c r="AP164" s="43" t="str">
        <f t="shared" si="79"/>
        <v>OK</v>
      </c>
      <c r="AQ164" s="43" t="str">
        <f t="shared" si="79"/>
        <v>OK</v>
      </c>
      <c r="AR164" s="43" t="str">
        <f t="shared" si="79"/>
        <v>OK</v>
      </c>
      <c r="AS164" s="43" t="str">
        <f t="shared" si="79"/>
        <v>OK</v>
      </c>
      <c r="AT164" s="43" t="str">
        <f t="shared" si="79"/>
        <v>OK</v>
      </c>
      <c r="AU164" s="43" t="str">
        <f t="shared" si="79"/>
        <v>OK</v>
      </c>
      <c r="AV164" s="43" t="str">
        <f t="shared" si="79"/>
        <v>OK</v>
      </c>
      <c r="AW164" s="43" t="str">
        <f t="shared" si="79"/>
        <v>OK</v>
      </c>
      <c r="AX164" s="43" t="str">
        <f t="shared" si="79"/>
        <v>OK</v>
      </c>
      <c r="AY164" s="43" t="str">
        <f t="shared" si="79"/>
        <v>OK</v>
      </c>
      <c r="AZ164" s="43" t="str">
        <f t="shared" si="79"/>
        <v>OK</v>
      </c>
      <c r="BA164" s="44" t="str">
        <f t="shared" si="79"/>
        <v>OK</v>
      </c>
    </row>
    <row r="165" spans="1:53" s="246" customFormat="1" outlineLevel="1">
      <c r="A165" s="244"/>
      <c r="B165" s="244"/>
      <c r="C165" s="241" t="s">
        <v>124</v>
      </c>
      <c r="D165" s="121" t="s">
        <v>394</v>
      </c>
      <c r="E165" s="245" t="s">
        <v>596</v>
      </c>
      <c r="F165" s="326" t="s">
        <v>27</v>
      </c>
      <c r="G165" s="242" t="s">
        <v>27</v>
      </c>
      <c r="H165" s="242" t="s">
        <v>27</v>
      </c>
      <c r="I165" s="242" t="s">
        <v>27</v>
      </c>
      <c r="J165" s="242" t="s">
        <v>27</v>
      </c>
      <c r="K165" s="242" t="s">
        <v>27</v>
      </c>
      <c r="L165" s="242" t="s">
        <v>27</v>
      </c>
      <c r="M165" s="327" t="s">
        <v>27</v>
      </c>
      <c r="N165" s="334" t="str">
        <f>IF(ROUND(N26-(N27+N28+N29),2)&gt;=0,"OK","BŁĄD")</f>
        <v>OK</v>
      </c>
      <c r="O165" s="43" t="str">
        <f t="shared" ref="O165:BA165" si="80">IF(ROUND(O26-(O27+O28+O29),2)&gt;=0,"OK","BŁĄD")</f>
        <v>OK</v>
      </c>
      <c r="P165" s="43" t="str">
        <f t="shared" si="80"/>
        <v>OK</v>
      </c>
      <c r="Q165" s="43" t="str">
        <f t="shared" si="80"/>
        <v>OK</v>
      </c>
      <c r="R165" s="43" t="str">
        <f t="shared" si="80"/>
        <v>OK</v>
      </c>
      <c r="S165" s="43" t="str">
        <f t="shared" si="80"/>
        <v>OK</v>
      </c>
      <c r="T165" s="43" t="str">
        <f t="shared" si="80"/>
        <v>OK</v>
      </c>
      <c r="U165" s="43" t="str">
        <f t="shared" si="80"/>
        <v>OK</v>
      </c>
      <c r="V165" s="43" t="str">
        <f t="shared" si="80"/>
        <v>OK</v>
      </c>
      <c r="W165" s="43" t="str">
        <f t="shared" si="80"/>
        <v>OK</v>
      </c>
      <c r="X165" s="43" t="str">
        <f t="shared" si="80"/>
        <v>OK</v>
      </c>
      <c r="Y165" s="43" t="str">
        <f t="shared" si="80"/>
        <v>OK</v>
      </c>
      <c r="Z165" s="43" t="str">
        <f t="shared" si="80"/>
        <v>OK</v>
      </c>
      <c r="AA165" s="43" t="str">
        <f t="shared" si="80"/>
        <v>OK</v>
      </c>
      <c r="AB165" s="43" t="str">
        <f t="shared" si="80"/>
        <v>OK</v>
      </c>
      <c r="AC165" s="43" t="str">
        <f t="shared" si="80"/>
        <v>OK</v>
      </c>
      <c r="AD165" s="43" t="str">
        <f t="shared" si="80"/>
        <v>OK</v>
      </c>
      <c r="AE165" s="43" t="str">
        <f t="shared" si="80"/>
        <v>OK</v>
      </c>
      <c r="AF165" s="43" t="str">
        <f t="shared" si="80"/>
        <v>OK</v>
      </c>
      <c r="AG165" s="43" t="str">
        <f t="shared" si="80"/>
        <v>OK</v>
      </c>
      <c r="AH165" s="43" t="str">
        <f t="shared" si="80"/>
        <v>OK</v>
      </c>
      <c r="AI165" s="43" t="str">
        <f t="shared" si="80"/>
        <v>OK</v>
      </c>
      <c r="AJ165" s="43" t="str">
        <f t="shared" si="80"/>
        <v>OK</v>
      </c>
      <c r="AK165" s="43" t="str">
        <f t="shared" si="80"/>
        <v>OK</v>
      </c>
      <c r="AL165" s="43" t="str">
        <f t="shared" si="80"/>
        <v>OK</v>
      </c>
      <c r="AM165" s="43" t="str">
        <f t="shared" si="80"/>
        <v>OK</v>
      </c>
      <c r="AN165" s="43" t="str">
        <f t="shared" si="80"/>
        <v>OK</v>
      </c>
      <c r="AO165" s="43" t="str">
        <f t="shared" si="80"/>
        <v>OK</v>
      </c>
      <c r="AP165" s="43" t="str">
        <f t="shared" si="80"/>
        <v>OK</v>
      </c>
      <c r="AQ165" s="43" t="str">
        <f t="shared" si="80"/>
        <v>OK</v>
      </c>
      <c r="AR165" s="43" t="str">
        <f t="shared" si="80"/>
        <v>OK</v>
      </c>
      <c r="AS165" s="43" t="str">
        <f t="shared" si="80"/>
        <v>OK</v>
      </c>
      <c r="AT165" s="43" t="str">
        <f t="shared" si="80"/>
        <v>OK</v>
      </c>
      <c r="AU165" s="43" t="str">
        <f t="shared" si="80"/>
        <v>OK</v>
      </c>
      <c r="AV165" s="43" t="str">
        <f t="shared" si="80"/>
        <v>OK</v>
      </c>
      <c r="AW165" s="43" t="str">
        <f t="shared" si="80"/>
        <v>OK</v>
      </c>
      <c r="AX165" s="43" t="str">
        <f t="shared" si="80"/>
        <v>OK</v>
      </c>
      <c r="AY165" s="43" t="str">
        <f t="shared" si="80"/>
        <v>OK</v>
      </c>
      <c r="AZ165" s="43" t="str">
        <f t="shared" si="80"/>
        <v>OK</v>
      </c>
      <c r="BA165" s="44" t="str">
        <f t="shared" si="80"/>
        <v>OK</v>
      </c>
    </row>
    <row r="166" spans="1:53" s="246" customFormat="1" outlineLevel="1">
      <c r="A166" s="244"/>
      <c r="B166" s="244"/>
      <c r="C166" s="241" t="s">
        <v>130</v>
      </c>
      <c r="D166" s="121" t="s">
        <v>395</v>
      </c>
      <c r="E166" s="245" t="s">
        <v>429</v>
      </c>
      <c r="F166" s="326" t="s">
        <v>27</v>
      </c>
      <c r="G166" s="242" t="s">
        <v>27</v>
      </c>
      <c r="H166" s="242" t="s">
        <v>27</v>
      </c>
      <c r="I166" s="242" t="s">
        <v>27</v>
      </c>
      <c r="J166" s="242" t="s">
        <v>27</v>
      </c>
      <c r="K166" s="242" t="s">
        <v>27</v>
      </c>
      <c r="L166" s="242" t="s">
        <v>27</v>
      </c>
      <c r="M166" s="327" t="s">
        <v>27</v>
      </c>
      <c r="N166" s="334" t="str">
        <f t="shared" ref="N166:BA166" si="81">IF(N30&gt;=N31,"OK","BŁĄD")</f>
        <v>OK</v>
      </c>
      <c r="O166" s="43" t="str">
        <f t="shared" si="81"/>
        <v>OK</v>
      </c>
      <c r="P166" s="43" t="str">
        <f t="shared" si="81"/>
        <v>OK</v>
      </c>
      <c r="Q166" s="43" t="str">
        <f t="shared" si="81"/>
        <v>OK</v>
      </c>
      <c r="R166" s="43" t="str">
        <f t="shared" si="81"/>
        <v>OK</v>
      </c>
      <c r="S166" s="43" t="str">
        <f t="shared" si="81"/>
        <v>OK</v>
      </c>
      <c r="T166" s="43" t="str">
        <f t="shared" si="81"/>
        <v>OK</v>
      </c>
      <c r="U166" s="43" t="str">
        <f t="shared" si="81"/>
        <v>OK</v>
      </c>
      <c r="V166" s="43" t="str">
        <f t="shared" si="81"/>
        <v>OK</v>
      </c>
      <c r="W166" s="43" t="str">
        <f t="shared" si="81"/>
        <v>OK</v>
      </c>
      <c r="X166" s="43" t="str">
        <f t="shared" si="81"/>
        <v>OK</v>
      </c>
      <c r="Y166" s="43" t="str">
        <f t="shared" si="81"/>
        <v>OK</v>
      </c>
      <c r="Z166" s="43" t="str">
        <f t="shared" si="81"/>
        <v>OK</v>
      </c>
      <c r="AA166" s="43" t="str">
        <f t="shared" si="81"/>
        <v>OK</v>
      </c>
      <c r="AB166" s="43" t="str">
        <f t="shared" si="81"/>
        <v>OK</v>
      </c>
      <c r="AC166" s="43" t="str">
        <f t="shared" si="81"/>
        <v>OK</v>
      </c>
      <c r="AD166" s="43" t="str">
        <f t="shared" si="81"/>
        <v>OK</v>
      </c>
      <c r="AE166" s="43" t="str">
        <f t="shared" si="81"/>
        <v>OK</v>
      </c>
      <c r="AF166" s="43" t="str">
        <f t="shared" si="81"/>
        <v>OK</v>
      </c>
      <c r="AG166" s="43" t="str">
        <f t="shared" si="81"/>
        <v>OK</v>
      </c>
      <c r="AH166" s="43" t="str">
        <f t="shared" si="81"/>
        <v>OK</v>
      </c>
      <c r="AI166" s="43" t="str">
        <f t="shared" si="81"/>
        <v>OK</v>
      </c>
      <c r="AJ166" s="43" t="str">
        <f t="shared" si="81"/>
        <v>OK</v>
      </c>
      <c r="AK166" s="43" t="str">
        <f t="shared" si="81"/>
        <v>OK</v>
      </c>
      <c r="AL166" s="43" t="str">
        <f t="shared" si="81"/>
        <v>OK</v>
      </c>
      <c r="AM166" s="43" t="str">
        <f t="shared" si="81"/>
        <v>OK</v>
      </c>
      <c r="AN166" s="43" t="str">
        <f t="shared" si="81"/>
        <v>OK</v>
      </c>
      <c r="AO166" s="43" t="str">
        <f t="shared" si="81"/>
        <v>OK</v>
      </c>
      <c r="AP166" s="43" t="str">
        <f t="shared" si="81"/>
        <v>OK</v>
      </c>
      <c r="AQ166" s="43" t="str">
        <f t="shared" si="81"/>
        <v>OK</v>
      </c>
      <c r="AR166" s="43" t="str">
        <f t="shared" si="81"/>
        <v>OK</v>
      </c>
      <c r="AS166" s="43" t="str">
        <f t="shared" si="81"/>
        <v>OK</v>
      </c>
      <c r="AT166" s="43" t="str">
        <f t="shared" si="81"/>
        <v>OK</v>
      </c>
      <c r="AU166" s="43" t="str">
        <f t="shared" si="81"/>
        <v>OK</v>
      </c>
      <c r="AV166" s="43" t="str">
        <f t="shared" si="81"/>
        <v>OK</v>
      </c>
      <c r="AW166" s="43" t="str">
        <f t="shared" si="81"/>
        <v>OK</v>
      </c>
      <c r="AX166" s="43" t="str">
        <f t="shared" si="81"/>
        <v>OK</v>
      </c>
      <c r="AY166" s="43" t="str">
        <f t="shared" si="81"/>
        <v>OK</v>
      </c>
      <c r="AZ166" s="43" t="str">
        <f t="shared" si="81"/>
        <v>OK</v>
      </c>
      <c r="BA166" s="44" t="str">
        <f t="shared" si="81"/>
        <v>OK</v>
      </c>
    </row>
    <row r="167" spans="1:53" s="246" customFormat="1" outlineLevel="1">
      <c r="A167" s="244"/>
      <c r="B167" s="244"/>
      <c r="C167" s="241" t="s">
        <v>131</v>
      </c>
      <c r="D167" s="121" t="s">
        <v>396</v>
      </c>
      <c r="E167" s="245" t="s">
        <v>430</v>
      </c>
      <c r="F167" s="326" t="s">
        <v>27</v>
      </c>
      <c r="G167" s="242" t="s">
        <v>27</v>
      </c>
      <c r="H167" s="242" t="s">
        <v>27</v>
      </c>
      <c r="I167" s="242" t="s">
        <v>27</v>
      </c>
      <c r="J167" s="242" t="s">
        <v>27</v>
      </c>
      <c r="K167" s="242" t="s">
        <v>27</v>
      </c>
      <c r="L167" s="242" t="s">
        <v>27</v>
      </c>
      <c r="M167" s="327" t="s">
        <v>27</v>
      </c>
      <c r="N167" s="334" t="str">
        <f t="shared" ref="N167:BA167" si="82">IF(N30&gt;=N87,"OK","BŁĄD")</f>
        <v>OK</v>
      </c>
      <c r="O167" s="43" t="str">
        <f t="shared" si="82"/>
        <v>OK</v>
      </c>
      <c r="P167" s="43" t="str">
        <f t="shared" si="82"/>
        <v>OK</v>
      </c>
      <c r="Q167" s="43" t="str">
        <f t="shared" si="82"/>
        <v>OK</v>
      </c>
      <c r="R167" s="43" t="str">
        <f t="shared" si="82"/>
        <v>OK</v>
      </c>
      <c r="S167" s="43" t="str">
        <f t="shared" si="82"/>
        <v>OK</v>
      </c>
      <c r="T167" s="43" t="str">
        <f t="shared" si="82"/>
        <v>OK</v>
      </c>
      <c r="U167" s="43" t="str">
        <f t="shared" si="82"/>
        <v>OK</v>
      </c>
      <c r="V167" s="43" t="str">
        <f t="shared" si="82"/>
        <v>OK</v>
      </c>
      <c r="W167" s="43" t="str">
        <f t="shared" si="82"/>
        <v>OK</v>
      </c>
      <c r="X167" s="43" t="str">
        <f t="shared" si="82"/>
        <v>OK</v>
      </c>
      <c r="Y167" s="43" t="str">
        <f t="shared" si="82"/>
        <v>OK</v>
      </c>
      <c r="Z167" s="43" t="str">
        <f t="shared" si="82"/>
        <v>OK</v>
      </c>
      <c r="AA167" s="43" t="str">
        <f t="shared" si="82"/>
        <v>OK</v>
      </c>
      <c r="AB167" s="43" t="str">
        <f t="shared" si="82"/>
        <v>OK</v>
      </c>
      <c r="AC167" s="43" t="str">
        <f t="shared" si="82"/>
        <v>OK</v>
      </c>
      <c r="AD167" s="43" t="str">
        <f t="shared" si="82"/>
        <v>OK</v>
      </c>
      <c r="AE167" s="43" t="str">
        <f t="shared" si="82"/>
        <v>OK</v>
      </c>
      <c r="AF167" s="43" t="str">
        <f t="shared" si="82"/>
        <v>OK</v>
      </c>
      <c r="AG167" s="43" t="str">
        <f t="shared" si="82"/>
        <v>OK</v>
      </c>
      <c r="AH167" s="43" t="str">
        <f t="shared" si="82"/>
        <v>OK</v>
      </c>
      <c r="AI167" s="43" t="str">
        <f t="shared" si="82"/>
        <v>OK</v>
      </c>
      <c r="AJ167" s="43" t="str">
        <f t="shared" si="82"/>
        <v>OK</v>
      </c>
      <c r="AK167" s="43" t="str">
        <f t="shared" si="82"/>
        <v>OK</v>
      </c>
      <c r="AL167" s="43" t="str">
        <f t="shared" si="82"/>
        <v>OK</v>
      </c>
      <c r="AM167" s="43" t="str">
        <f t="shared" si="82"/>
        <v>OK</v>
      </c>
      <c r="AN167" s="43" t="str">
        <f t="shared" si="82"/>
        <v>OK</v>
      </c>
      <c r="AO167" s="43" t="str">
        <f t="shared" si="82"/>
        <v>OK</v>
      </c>
      <c r="AP167" s="43" t="str">
        <f t="shared" si="82"/>
        <v>OK</v>
      </c>
      <c r="AQ167" s="43" t="str">
        <f t="shared" si="82"/>
        <v>OK</v>
      </c>
      <c r="AR167" s="43" t="str">
        <f t="shared" si="82"/>
        <v>OK</v>
      </c>
      <c r="AS167" s="43" t="str">
        <f t="shared" si="82"/>
        <v>OK</v>
      </c>
      <c r="AT167" s="43" t="str">
        <f t="shared" si="82"/>
        <v>OK</v>
      </c>
      <c r="AU167" s="43" t="str">
        <f t="shared" si="82"/>
        <v>OK</v>
      </c>
      <c r="AV167" s="43" t="str">
        <f t="shared" si="82"/>
        <v>OK</v>
      </c>
      <c r="AW167" s="43" t="str">
        <f t="shared" si="82"/>
        <v>OK</v>
      </c>
      <c r="AX167" s="43" t="str">
        <f t="shared" si="82"/>
        <v>OK</v>
      </c>
      <c r="AY167" s="43" t="str">
        <f t="shared" si="82"/>
        <v>OK</v>
      </c>
      <c r="AZ167" s="43" t="str">
        <f t="shared" si="82"/>
        <v>OK</v>
      </c>
      <c r="BA167" s="44" t="str">
        <f t="shared" si="82"/>
        <v>OK</v>
      </c>
    </row>
    <row r="168" spans="1:53" s="246" customFormat="1" outlineLevel="1">
      <c r="A168" s="244"/>
      <c r="B168" s="244"/>
      <c r="C168" s="241" t="s">
        <v>132</v>
      </c>
      <c r="D168" s="121" t="s">
        <v>397</v>
      </c>
      <c r="E168" s="245" t="s">
        <v>431</v>
      </c>
      <c r="F168" s="326" t="s">
        <v>27</v>
      </c>
      <c r="G168" s="242" t="s">
        <v>27</v>
      </c>
      <c r="H168" s="242" t="s">
        <v>27</v>
      </c>
      <c r="I168" s="242" t="s">
        <v>27</v>
      </c>
      <c r="J168" s="242" t="s">
        <v>27</v>
      </c>
      <c r="K168" s="242" t="s">
        <v>27</v>
      </c>
      <c r="L168" s="242" t="s">
        <v>27</v>
      </c>
      <c r="M168" s="327" t="s">
        <v>27</v>
      </c>
      <c r="N168" s="334" t="str">
        <f t="shared" ref="N168:BA168" si="83">IF(N30&gt;=N93,"OK","BŁĄD")</f>
        <v>OK</v>
      </c>
      <c r="O168" s="43" t="str">
        <f t="shared" si="83"/>
        <v>OK</v>
      </c>
      <c r="P168" s="43" t="str">
        <f t="shared" si="83"/>
        <v>OK</v>
      </c>
      <c r="Q168" s="43" t="str">
        <f t="shared" si="83"/>
        <v>OK</v>
      </c>
      <c r="R168" s="43" t="str">
        <f t="shared" si="83"/>
        <v>OK</v>
      </c>
      <c r="S168" s="43" t="str">
        <f t="shared" si="83"/>
        <v>OK</v>
      </c>
      <c r="T168" s="43" t="str">
        <f t="shared" si="83"/>
        <v>OK</v>
      </c>
      <c r="U168" s="43" t="str">
        <f t="shared" si="83"/>
        <v>OK</v>
      </c>
      <c r="V168" s="43" t="str">
        <f t="shared" si="83"/>
        <v>OK</v>
      </c>
      <c r="W168" s="43" t="str">
        <f t="shared" si="83"/>
        <v>OK</v>
      </c>
      <c r="X168" s="43" t="str">
        <f t="shared" si="83"/>
        <v>OK</v>
      </c>
      <c r="Y168" s="43" t="str">
        <f t="shared" si="83"/>
        <v>OK</v>
      </c>
      <c r="Z168" s="43" t="str">
        <f t="shared" si="83"/>
        <v>OK</v>
      </c>
      <c r="AA168" s="43" t="str">
        <f t="shared" si="83"/>
        <v>OK</v>
      </c>
      <c r="AB168" s="43" t="str">
        <f t="shared" si="83"/>
        <v>OK</v>
      </c>
      <c r="AC168" s="43" t="str">
        <f t="shared" si="83"/>
        <v>OK</v>
      </c>
      <c r="AD168" s="43" t="str">
        <f t="shared" si="83"/>
        <v>OK</v>
      </c>
      <c r="AE168" s="43" t="str">
        <f t="shared" si="83"/>
        <v>OK</v>
      </c>
      <c r="AF168" s="43" t="str">
        <f t="shared" si="83"/>
        <v>OK</v>
      </c>
      <c r="AG168" s="43" t="str">
        <f t="shared" si="83"/>
        <v>OK</v>
      </c>
      <c r="AH168" s="43" t="str">
        <f t="shared" si="83"/>
        <v>OK</v>
      </c>
      <c r="AI168" s="43" t="str">
        <f t="shared" si="83"/>
        <v>OK</v>
      </c>
      <c r="AJ168" s="43" t="str">
        <f t="shared" si="83"/>
        <v>OK</v>
      </c>
      <c r="AK168" s="43" t="str">
        <f t="shared" si="83"/>
        <v>OK</v>
      </c>
      <c r="AL168" s="43" t="str">
        <f t="shared" si="83"/>
        <v>OK</v>
      </c>
      <c r="AM168" s="43" t="str">
        <f t="shared" si="83"/>
        <v>OK</v>
      </c>
      <c r="AN168" s="43" t="str">
        <f t="shared" si="83"/>
        <v>OK</v>
      </c>
      <c r="AO168" s="43" t="str">
        <f t="shared" si="83"/>
        <v>OK</v>
      </c>
      <c r="AP168" s="43" t="str">
        <f t="shared" si="83"/>
        <v>OK</v>
      </c>
      <c r="AQ168" s="43" t="str">
        <f t="shared" si="83"/>
        <v>OK</v>
      </c>
      <c r="AR168" s="43" t="str">
        <f t="shared" si="83"/>
        <v>OK</v>
      </c>
      <c r="AS168" s="43" t="str">
        <f t="shared" si="83"/>
        <v>OK</v>
      </c>
      <c r="AT168" s="43" t="str">
        <f t="shared" si="83"/>
        <v>OK</v>
      </c>
      <c r="AU168" s="43" t="str">
        <f t="shared" si="83"/>
        <v>OK</v>
      </c>
      <c r="AV168" s="43" t="str">
        <f t="shared" si="83"/>
        <v>OK</v>
      </c>
      <c r="AW168" s="43" t="str">
        <f t="shared" si="83"/>
        <v>OK</v>
      </c>
      <c r="AX168" s="43" t="str">
        <f t="shared" si="83"/>
        <v>OK</v>
      </c>
      <c r="AY168" s="43" t="str">
        <f t="shared" si="83"/>
        <v>OK</v>
      </c>
      <c r="AZ168" s="43" t="str">
        <f t="shared" si="83"/>
        <v>OK</v>
      </c>
      <c r="BA168" s="44" t="str">
        <f t="shared" si="83"/>
        <v>OK</v>
      </c>
    </row>
    <row r="169" spans="1:53" s="246" customFormat="1" outlineLevel="1">
      <c r="A169" s="244"/>
      <c r="B169" s="244"/>
      <c r="C169" s="241" t="s">
        <v>133</v>
      </c>
      <c r="D169" s="121" t="s">
        <v>398</v>
      </c>
      <c r="E169" s="245" t="s">
        <v>432</v>
      </c>
      <c r="F169" s="326" t="s">
        <v>27</v>
      </c>
      <c r="G169" s="242" t="s">
        <v>27</v>
      </c>
      <c r="H169" s="242" t="s">
        <v>27</v>
      </c>
      <c r="I169" s="242" t="s">
        <v>27</v>
      </c>
      <c r="J169" s="242" t="s">
        <v>27</v>
      </c>
      <c r="K169" s="242" t="s">
        <v>27</v>
      </c>
      <c r="L169" s="242" t="s">
        <v>27</v>
      </c>
      <c r="M169" s="327" t="s">
        <v>27</v>
      </c>
      <c r="N169" s="334" t="str">
        <f t="shared" ref="N169:BA169" si="84">IF(ROUND(N30-(N102-N103),2)&gt;=0,"OK","BŁĄD")</f>
        <v>OK</v>
      </c>
      <c r="O169" s="43" t="str">
        <f t="shared" si="84"/>
        <v>OK</v>
      </c>
      <c r="P169" s="43" t="str">
        <f t="shared" si="84"/>
        <v>OK</v>
      </c>
      <c r="Q169" s="43" t="str">
        <f t="shared" si="84"/>
        <v>OK</v>
      </c>
      <c r="R169" s="43" t="str">
        <f t="shared" si="84"/>
        <v>OK</v>
      </c>
      <c r="S169" s="43" t="str">
        <f t="shared" si="84"/>
        <v>OK</v>
      </c>
      <c r="T169" s="43" t="str">
        <f t="shared" si="84"/>
        <v>OK</v>
      </c>
      <c r="U169" s="43" t="str">
        <f t="shared" si="84"/>
        <v>OK</v>
      </c>
      <c r="V169" s="43" t="str">
        <f t="shared" si="84"/>
        <v>OK</v>
      </c>
      <c r="W169" s="43" t="str">
        <f t="shared" si="84"/>
        <v>OK</v>
      </c>
      <c r="X169" s="43" t="str">
        <f t="shared" si="84"/>
        <v>OK</v>
      </c>
      <c r="Y169" s="43" t="str">
        <f t="shared" si="84"/>
        <v>OK</v>
      </c>
      <c r="Z169" s="43" t="str">
        <f t="shared" si="84"/>
        <v>OK</v>
      </c>
      <c r="AA169" s="43" t="str">
        <f t="shared" si="84"/>
        <v>OK</v>
      </c>
      <c r="AB169" s="43" t="str">
        <f t="shared" si="84"/>
        <v>OK</v>
      </c>
      <c r="AC169" s="43" t="str">
        <f t="shared" si="84"/>
        <v>OK</v>
      </c>
      <c r="AD169" s="43" t="str">
        <f t="shared" si="84"/>
        <v>OK</v>
      </c>
      <c r="AE169" s="43" t="str">
        <f t="shared" si="84"/>
        <v>OK</v>
      </c>
      <c r="AF169" s="43" t="str">
        <f t="shared" si="84"/>
        <v>OK</v>
      </c>
      <c r="AG169" s="43" t="str">
        <f t="shared" si="84"/>
        <v>OK</v>
      </c>
      <c r="AH169" s="43" t="str">
        <f t="shared" si="84"/>
        <v>OK</v>
      </c>
      <c r="AI169" s="43" t="str">
        <f t="shared" si="84"/>
        <v>OK</v>
      </c>
      <c r="AJ169" s="43" t="str">
        <f t="shared" si="84"/>
        <v>OK</v>
      </c>
      <c r="AK169" s="43" t="str">
        <f t="shared" si="84"/>
        <v>OK</v>
      </c>
      <c r="AL169" s="43" t="str">
        <f t="shared" si="84"/>
        <v>OK</v>
      </c>
      <c r="AM169" s="43" t="str">
        <f t="shared" si="84"/>
        <v>OK</v>
      </c>
      <c r="AN169" s="43" t="str">
        <f t="shared" si="84"/>
        <v>OK</v>
      </c>
      <c r="AO169" s="43" t="str">
        <f t="shared" si="84"/>
        <v>OK</v>
      </c>
      <c r="AP169" s="43" t="str">
        <f t="shared" si="84"/>
        <v>OK</v>
      </c>
      <c r="AQ169" s="43" t="str">
        <f t="shared" si="84"/>
        <v>OK</v>
      </c>
      <c r="AR169" s="43" t="str">
        <f t="shared" si="84"/>
        <v>OK</v>
      </c>
      <c r="AS169" s="43" t="str">
        <f t="shared" si="84"/>
        <v>OK</v>
      </c>
      <c r="AT169" s="43" t="str">
        <f t="shared" si="84"/>
        <v>OK</v>
      </c>
      <c r="AU169" s="43" t="str">
        <f t="shared" si="84"/>
        <v>OK</v>
      </c>
      <c r="AV169" s="43" t="str">
        <f t="shared" si="84"/>
        <v>OK</v>
      </c>
      <c r="AW169" s="43" t="str">
        <f t="shared" si="84"/>
        <v>OK</v>
      </c>
      <c r="AX169" s="43" t="str">
        <f t="shared" si="84"/>
        <v>OK</v>
      </c>
      <c r="AY169" s="43" t="str">
        <f t="shared" si="84"/>
        <v>OK</v>
      </c>
      <c r="AZ169" s="43" t="str">
        <f t="shared" si="84"/>
        <v>OK</v>
      </c>
      <c r="BA169" s="44" t="str">
        <f t="shared" si="84"/>
        <v>OK</v>
      </c>
    </row>
    <row r="170" spans="1:53" s="246" customFormat="1" outlineLevel="1">
      <c r="A170" s="244"/>
      <c r="B170" s="244"/>
      <c r="C170" s="241"/>
      <c r="D170" s="121" t="s">
        <v>399</v>
      </c>
      <c r="E170" s="245" t="s">
        <v>433</v>
      </c>
      <c r="F170" s="326" t="s">
        <v>27</v>
      </c>
      <c r="G170" s="242" t="s">
        <v>27</v>
      </c>
      <c r="H170" s="242" t="s">
        <v>27</v>
      </c>
      <c r="I170" s="242" t="s">
        <v>27</v>
      </c>
      <c r="J170" s="242" t="s">
        <v>27</v>
      </c>
      <c r="K170" s="242" t="s">
        <v>27</v>
      </c>
      <c r="L170" s="242" t="s">
        <v>27</v>
      </c>
      <c r="M170" s="327" t="s">
        <v>27</v>
      </c>
      <c r="N170" s="334" t="str">
        <f t="shared" ref="N170:BA170" si="85">IF(N31&gt;=N32,"OK","BŁĄD")</f>
        <v>OK</v>
      </c>
      <c r="O170" s="43" t="str">
        <f t="shared" si="85"/>
        <v>OK</v>
      </c>
      <c r="P170" s="43" t="str">
        <f t="shared" si="85"/>
        <v>OK</v>
      </c>
      <c r="Q170" s="43" t="str">
        <f t="shared" si="85"/>
        <v>OK</v>
      </c>
      <c r="R170" s="43" t="str">
        <f t="shared" si="85"/>
        <v>OK</v>
      </c>
      <c r="S170" s="43" t="str">
        <f t="shared" si="85"/>
        <v>OK</v>
      </c>
      <c r="T170" s="43" t="str">
        <f t="shared" si="85"/>
        <v>OK</v>
      </c>
      <c r="U170" s="43" t="str">
        <f t="shared" si="85"/>
        <v>OK</v>
      </c>
      <c r="V170" s="43" t="str">
        <f t="shared" si="85"/>
        <v>OK</v>
      </c>
      <c r="W170" s="43" t="str">
        <f t="shared" si="85"/>
        <v>OK</v>
      </c>
      <c r="X170" s="43" t="str">
        <f t="shared" si="85"/>
        <v>OK</v>
      </c>
      <c r="Y170" s="43" t="str">
        <f t="shared" si="85"/>
        <v>OK</v>
      </c>
      <c r="Z170" s="43" t="str">
        <f t="shared" si="85"/>
        <v>OK</v>
      </c>
      <c r="AA170" s="43" t="str">
        <f t="shared" si="85"/>
        <v>OK</v>
      </c>
      <c r="AB170" s="43" t="str">
        <f t="shared" si="85"/>
        <v>OK</v>
      </c>
      <c r="AC170" s="43" t="str">
        <f t="shared" si="85"/>
        <v>OK</v>
      </c>
      <c r="AD170" s="43" t="str">
        <f t="shared" si="85"/>
        <v>OK</v>
      </c>
      <c r="AE170" s="43" t="str">
        <f t="shared" si="85"/>
        <v>OK</v>
      </c>
      <c r="AF170" s="43" t="str">
        <f t="shared" si="85"/>
        <v>OK</v>
      </c>
      <c r="AG170" s="43" t="str">
        <f t="shared" si="85"/>
        <v>OK</v>
      </c>
      <c r="AH170" s="43" t="str">
        <f t="shared" si="85"/>
        <v>OK</v>
      </c>
      <c r="AI170" s="43" t="str">
        <f t="shared" si="85"/>
        <v>OK</v>
      </c>
      <c r="AJ170" s="43" t="str">
        <f t="shared" si="85"/>
        <v>OK</v>
      </c>
      <c r="AK170" s="43" t="str">
        <f t="shared" si="85"/>
        <v>OK</v>
      </c>
      <c r="AL170" s="43" t="str">
        <f t="shared" si="85"/>
        <v>OK</v>
      </c>
      <c r="AM170" s="43" t="str">
        <f t="shared" si="85"/>
        <v>OK</v>
      </c>
      <c r="AN170" s="43" t="str">
        <f t="shared" si="85"/>
        <v>OK</v>
      </c>
      <c r="AO170" s="43" t="str">
        <f t="shared" si="85"/>
        <v>OK</v>
      </c>
      <c r="AP170" s="43" t="str">
        <f t="shared" si="85"/>
        <v>OK</v>
      </c>
      <c r="AQ170" s="43" t="str">
        <f t="shared" si="85"/>
        <v>OK</v>
      </c>
      <c r="AR170" s="43" t="str">
        <f t="shared" si="85"/>
        <v>OK</v>
      </c>
      <c r="AS170" s="43" t="str">
        <f t="shared" si="85"/>
        <v>OK</v>
      </c>
      <c r="AT170" s="43" t="str">
        <f t="shared" si="85"/>
        <v>OK</v>
      </c>
      <c r="AU170" s="43" t="str">
        <f t="shared" si="85"/>
        <v>OK</v>
      </c>
      <c r="AV170" s="43" t="str">
        <f t="shared" si="85"/>
        <v>OK</v>
      </c>
      <c r="AW170" s="43" t="str">
        <f t="shared" si="85"/>
        <v>OK</v>
      </c>
      <c r="AX170" s="43" t="str">
        <f t="shared" si="85"/>
        <v>OK</v>
      </c>
      <c r="AY170" s="43" t="str">
        <f t="shared" si="85"/>
        <v>OK</v>
      </c>
      <c r="AZ170" s="43" t="str">
        <f t="shared" si="85"/>
        <v>OK</v>
      </c>
      <c r="BA170" s="44" t="str">
        <f t="shared" si="85"/>
        <v>OK</v>
      </c>
    </row>
    <row r="171" spans="1:53" s="246" customFormat="1" outlineLevel="1">
      <c r="A171" s="244"/>
      <c r="B171" s="244"/>
      <c r="C171" s="241" t="s">
        <v>134</v>
      </c>
      <c r="D171" s="121" t="s">
        <v>134</v>
      </c>
      <c r="E171" s="245" t="s">
        <v>152</v>
      </c>
      <c r="F171" s="326" t="s">
        <v>27</v>
      </c>
      <c r="G171" s="242" t="s">
        <v>27</v>
      </c>
      <c r="H171" s="242" t="s">
        <v>27</v>
      </c>
      <c r="I171" s="242" t="s">
        <v>27</v>
      </c>
      <c r="J171" s="242" t="s">
        <v>27</v>
      </c>
      <c r="K171" s="242" t="s">
        <v>27</v>
      </c>
      <c r="L171" s="242" t="s">
        <v>27</v>
      </c>
      <c r="M171" s="327" t="s">
        <v>27</v>
      </c>
      <c r="N171" s="334" t="str">
        <f t="shared" ref="N171:BA171" si="86">IF(N36&gt;=N37,"OK","BŁĄD")</f>
        <v>OK</v>
      </c>
      <c r="O171" s="43" t="str">
        <f t="shared" si="86"/>
        <v>OK</v>
      </c>
      <c r="P171" s="43" t="str">
        <f t="shared" si="86"/>
        <v>OK</v>
      </c>
      <c r="Q171" s="43" t="str">
        <f t="shared" si="86"/>
        <v>OK</v>
      </c>
      <c r="R171" s="43" t="str">
        <f t="shared" si="86"/>
        <v>OK</v>
      </c>
      <c r="S171" s="43" t="str">
        <f t="shared" si="86"/>
        <v>OK</v>
      </c>
      <c r="T171" s="43" t="str">
        <f t="shared" si="86"/>
        <v>OK</v>
      </c>
      <c r="U171" s="43" t="str">
        <f t="shared" si="86"/>
        <v>OK</v>
      </c>
      <c r="V171" s="43" t="str">
        <f t="shared" si="86"/>
        <v>OK</v>
      </c>
      <c r="W171" s="43" t="str">
        <f t="shared" si="86"/>
        <v>OK</v>
      </c>
      <c r="X171" s="43" t="str">
        <f t="shared" si="86"/>
        <v>OK</v>
      </c>
      <c r="Y171" s="43" t="str">
        <f t="shared" si="86"/>
        <v>OK</v>
      </c>
      <c r="Z171" s="43" t="str">
        <f t="shared" si="86"/>
        <v>OK</v>
      </c>
      <c r="AA171" s="43" t="str">
        <f t="shared" si="86"/>
        <v>OK</v>
      </c>
      <c r="AB171" s="43" t="str">
        <f t="shared" si="86"/>
        <v>OK</v>
      </c>
      <c r="AC171" s="43" t="str">
        <f t="shared" si="86"/>
        <v>OK</v>
      </c>
      <c r="AD171" s="43" t="str">
        <f t="shared" si="86"/>
        <v>OK</v>
      </c>
      <c r="AE171" s="43" t="str">
        <f t="shared" si="86"/>
        <v>OK</v>
      </c>
      <c r="AF171" s="43" t="str">
        <f t="shared" si="86"/>
        <v>OK</v>
      </c>
      <c r="AG171" s="43" t="str">
        <f t="shared" si="86"/>
        <v>OK</v>
      </c>
      <c r="AH171" s="43" t="str">
        <f t="shared" si="86"/>
        <v>OK</v>
      </c>
      <c r="AI171" s="43" t="str">
        <f t="shared" si="86"/>
        <v>OK</v>
      </c>
      <c r="AJ171" s="43" t="str">
        <f t="shared" si="86"/>
        <v>OK</v>
      </c>
      <c r="AK171" s="43" t="str">
        <f t="shared" si="86"/>
        <v>OK</v>
      </c>
      <c r="AL171" s="43" t="str">
        <f t="shared" si="86"/>
        <v>OK</v>
      </c>
      <c r="AM171" s="43" t="str">
        <f t="shared" si="86"/>
        <v>OK</v>
      </c>
      <c r="AN171" s="43" t="str">
        <f t="shared" si="86"/>
        <v>OK</v>
      </c>
      <c r="AO171" s="43" t="str">
        <f t="shared" si="86"/>
        <v>OK</v>
      </c>
      <c r="AP171" s="43" t="str">
        <f t="shared" si="86"/>
        <v>OK</v>
      </c>
      <c r="AQ171" s="43" t="str">
        <f t="shared" si="86"/>
        <v>OK</v>
      </c>
      <c r="AR171" s="43" t="str">
        <f t="shared" si="86"/>
        <v>OK</v>
      </c>
      <c r="AS171" s="43" t="str">
        <f t="shared" si="86"/>
        <v>OK</v>
      </c>
      <c r="AT171" s="43" t="str">
        <f t="shared" si="86"/>
        <v>OK</v>
      </c>
      <c r="AU171" s="43" t="str">
        <f t="shared" si="86"/>
        <v>OK</v>
      </c>
      <c r="AV171" s="43" t="str">
        <f t="shared" si="86"/>
        <v>OK</v>
      </c>
      <c r="AW171" s="43" t="str">
        <f t="shared" si="86"/>
        <v>OK</v>
      </c>
      <c r="AX171" s="43" t="str">
        <f t="shared" si="86"/>
        <v>OK</v>
      </c>
      <c r="AY171" s="43" t="str">
        <f t="shared" si="86"/>
        <v>OK</v>
      </c>
      <c r="AZ171" s="43" t="str">
        <f t="shared" si="86"/>
        <v>OK</v>
      </c>
      <c r="BA171" s="44" t="str">
        <f t="shared" si="86"/>
        <v>OK</v>
      </c>
    </row>
    <row r="172" spans="1:53" s="246" customFormat="1" outlineLevel="1">
      <c r="A172" s="244"/>
      <c r="B172" s="244"/>
      <c r="C172" s="241" t="s">
        <v>135</v>
      </c>
      <c r="D172" s="121" t="s">
        <v>135</v>
      </c>
      <c r="E172" s="245" t="s">
        <v>153</v>
      </c>
      <c r="F172" s="326" t="s">
        <v>27</v>
      </c>
      <c r="G172" s="242" t="s">
        <v>27</v>
      </c>
      <c r="H172" s="242" t="s">
        <v>27</v>
      </c>
      <c r="I172" s="242" t="s">
        <v>27</v>
      </c>
      <c r="J172" s="242" t="s">
        <v>27</v>
      </c>
      <c r="K172" s="242" t="s">
        <v>27</v>
      </c>
      <c r="L172" s="242" t="s">
        <v>27</v>
      </c>
      <c r="M172" s="327" t="s">
        <v>27</v>
      </c>
      <c r="N172" s="334" t="str">
        <f t="shared" ref="N172:BA172" si="87">IF(N38&gt;=N39,"OK","BŁĄD")</f>
        <v>OK</v>
      </c>
      <c r="O172" s="43" t="str">
        <f t="shared" si="87"/>
        <v>OK</v>
      </c>
      <c r="P172" s="43" t="str">
        <f t="shared" si="87"/>
        <v>OK</v>
      </c>
      <c r="Q172" s="43" t="str">
        <f t="shared" si="87"/>
        <v>OK</v>
      </c>
      <c r="R172" s="43" t="str">
        <f t="shared" si="87"/>
        <v>OK</v>
      </c>
      <c r="S172" s="43" t="str">
        <f t="shared" si="87"/>
        <v>OK</v>
      </c>
      <c r="T172" s="43" t="str">
        <f t="shared" si="87"/>
        <v>OK</v>
      </c>
      <c r="U172" s="43" t="str">
        <f t="shared" si="87"/>
        <v>OK</v>
      </c>
      <c r="V172" s="43" t="str">
        <f t="shared" si="87"/>
        <v>OK</v>
      </c>
      <c r="W172" s="43" t="str">
        <f t="shared" si="87"/>
        <v>OK</v>
      </c>
      <c r="X172" s="43" t="str">
        <f t="shared" si="87"/>
        <v>OK</v>
      </c>
      <c r="Y172" s="43" t="str">
        <f t="shared" si="87"/>
        <v>OK</v>
      </c>
      <c r="Z172" s="43" t="str">
        <f t="shared" si="87"/>
        <v>OK</v>
      </c>
      <c r="AA172" s="43" t="str">
        <f t="shared" si="87"/>
        <v>OK</v>
      </c>
      <c r="AB172" s="43" t="str">
        <f t="shared" si="87"/>
        <v>OK</v>
      </c>
      <c r="AC172" s="43" t="str">
        <f t="shared" si="87"/>
        <v>OK</v>
      </c>
      <c r="AD172" s="43" t="str">
        <f t="shared" si="87"/>
        <v>OK</v>
      </c>
      <c r="AE172" s="43" t="str">
        <f t="shared" si="87"/>
        <v>OK</v>
      </c>
      <c r="AF172" s="43" t="str">
        <f t="shared" si="87"/>
        <v>OK</v>
      </c>
      <c r="AG172" s="43" t="str">
        <f t="shared" si="87"/>
        <v>OK</v>
      </c>
      <c r="AH172" s="43" t="str">
        <f t="shared" si="87"/>
        <v>OK</v>
      </c>
      <c r="AI172" s="43" t="str">
        <f t="shared" si="87"/>
        <v>OK</v>
      </c>
      <c r="AJ172" s="43" t="str">
        <f t="shared" si="87"/>
        <v>OK</v>
      </c>
      <c r="AK172" s="43" t="str">
        <f t="shared" si="87"/>
        <v>OK</v>
      </c>
      <c r="AL172" s="43" t="str">
        <f t="shared" si="87"/>
        <v>OK</v>
      </c>
      <c r="AM172" s="43" t="str">
        <f t="shared" si="87"/>
        <v>OK</v>
      </c>
      <c r="AN172" s="43" t="str">
        <f t="shared" si="87"/>
        <v>OK</v>
      </c>
      <c r="AO172" s="43" t="str">
        <f t="shared" si="87"/>
        <v>OK</v>
      </c>
      <c r="AP172" s="43" t="str">
        <f t="shared" si="87"/>
        <v>OK</v>
      </c>
      <c r="AQ172" s="43" t="str">
        <f t="shared" si="87"/>
        <v>OK</v>
      </c>
      <c r="AR172" s="43" t="str">
        <f t="shared" si="87"/>
        <v>OK</v>
      </c>
      <c r="AS172" s="43" t="str">
        <f t="shared" si="87"/>
        <v>OK</v>
      </c>
      <c r="AT172" s="43" t="str">
        <f t="shared" si="87"/>
        <v>OK</v>
      </c>
      <c r="AU172" s="43" t="str">
        <f t="shared" si="87"/>
        <v>OK</v>
      </c>
      <c r="AV172" s="43" t="str">
        <f t="shared" si="87"/>
        <v>OK</v>
      </c>
      <c r="AW172" s="43" t="str">
        <f t="shared" si="87"/>
        <v>OK</v>
      </c>
      <c r="AX172" s="43" t="str">
        <f t="shared" si="87"/>
        <v>OK</v>
      </c>
      <c r="AY172" s="43" t="str">
        <f t="shared" si="87"/>
        <v>OK</v>
      </c>
      <c r="AZ172" s="43" t="str">
        <f t="shared" si="87"/>
        <v>OK</v>
      </c>
      <c r="BA172" s="44" t="str">
        <f t="shared" si="87"/>
        <v>OK</v>
      </c>
    </row>
    <row r="173" spans="1:53" s="246" customFormat="1" outlineLevel="1">
      <c r="A173" s="244"/>
      <c r="B173" s="244"/>
      <c r="C173" s="241" t="s">
        <v>136</v>
      </c>
      <c r="D173" s="121" t="s">
        <v>136</v>
      </c>
      <c r="E173" s="245" t="s">
        <v>154</v>
      </c>
      <c r="F173" s="326" t="s">
        <v>27</v>
      </c>
      <c r="G173" s="242" t="s">
        <v>27</v>
      </c>
      <c r="H173" s="242" t="s">
        <v>27</v>
      </c>
      <c r="I173" s="242" t="s">
        <v>27</v>
      </c>
      <c r="J173" s="242" t="s">
        <v>27</v>
      </c>
      <c r="K173" s="242" t="s">
        <v>27</v>
      </c>
      <c r="L173" s="242" t="s">
        <v>27</v>
      </c>
      <c r="M173" s="327" t="s">
        <v>27</v>
      </c>
      <c r="N173" s="334" t="str">
        <f t="shared" ref="N173:BA173" si="88">IF(N40&gt;=N41,"OK","BŁĄD")</f>
        <v>OK</v>
      </c>
      <c r="O173" s="43" t="str">
        <f t="shared" si="88"/>
        <v>OK</v>
      </c>
      <c r="P173" s="43" t="str">
        <f t="shared" si="88"/>
        <v>OK</v>
      </c>
      <c r="Q173" s="43" t="str">
        <f t="shared" si="88"/>
        <v>OK</v>
      </c>
      <c r="R173" s="43" t="str">
        <f t="shared" si="88"/>
        <v>OK</v>
      </c>
      <c r="S173" s="43" t="str">
        <f t="shared" si="88"/>
        <v>OK</v>
      </c>
      <c r="T173" s="43" t="str">
        <f t="shared" si="88"/>
        <v>OK</v>
      </c>
      <c r="U173" s="43" t="str">
        <f t="shared" si="88"/>
        <v>OK</v>
      </c>
      <c r="V173" s="43" t="str">
        <f t="shared" si="88"/>
        <v>OK</v>
      </c>
      <c r="W173" s="43" t="str">
        <f t="shared" si="88"/>
        <v>OK</v>
      </c>
      <c r="X173" s="43" t="str">
        <f t="shared" si="88"/>
        <v>OK</v>
      </c>
      <c r="Y173" s="43" t="str">
        <f t="shared" si="88"/>
        <v>OK</v>
      </c>
      <c r="Z173" s="43" t="str">
        <f t="shared" si="88"/>
        <v>OK</v>
      </c>
      <c r="AA173" s="43" t="str">
        <f t="shared" si="88"/>
        <v>OK</v>
      </c>
      <c r="AB173" s="43" t="str">
        <f t="shared" si="88"/>
        <v>OK</v>
      </c>
      <c r="AC173" s="43" t="str">
        <f t="shared" si="88"/>
        <v>OK</v>
      </c>
      <c r="AD173" s="43" t="str">
        <f t="shared" si="88"/>
        <v>OK</v>
      </c>
      <c r="AE173" s="43" t="str">
        <f t="shared" si="88"/>
        <v>OK</v>
      </c>
      <c r="AF173" s="43" t="str">
        <f t="shared" si="88"/>
        <v>OK</v>
      </c>
      <c r="AG173" s="43" t="str">
        <f t="shared" si="88"/>
        <v>OK</v>
      </c>
      <c r="AH173" s="43" t="str">
        <f t="shared" si="88"/>
        <v>OK</v>
      </c>
      <c r="AI173" s="43" t="str">
        <f t="shared" si="88"/>
        <v>OK</v>
      </c>
      <c r="AJ173" s="43" t="str">
        <f t="shared" si="88"/>
        <v>OK</v>
      </c>
      <c r="AK173" s="43" t="str">
        <f t="shared" si="88"/>
        <v>OK</v>
      </c>
      <c r="AL173" s="43" t="str">
        <f t="shared" si="88"/>
        <v>OK</v>
      </c>
      <c r="AM173" s="43" t="str">
        <f t="shared" si="88"/>
        <v>OK</v>
      </c>
      <c r="AN173" s="43" t="str">
        <f t="shared" si="88"/>
        <v>OK</v>
      </c>
      <c r="AO173" s="43" t="str">
        <f t="shared" si="88"/>
        <v>OK</v>
      </c>
      <c r="AP173" s="43" t="str">
        <f t="shared" si="88"/>
        <v>OK</v>
      </c>
      <c r="AQ173" s="43" t="str">
        <f t="shared" si="88"/>
        <v>OK</v>
      </c>
      <c r="AR173" s="43" t="str">
        <f t="shared" si="88"/>
        <v>OK</v>
      </c>
      <c r="AS173" s="43" t="str">
        <f t="shared" si="88"/>
        <v>OK</v>
      </c>
      <c r="AT173" s="43" t="str">
        <f t="shared" si="88"/>
        <v>OK</v>
      </c>
      <c r="AU173" s="43" t="str">
        <f t="shared" si="88"/>
        <v>OK</v>
      </c>
      <c r="AV173" s="43" t="str">
        <f t="shared" si="88"/>
        <v>OK</v>
      </c>
      <c r="AW173" s="43" t="str">
        <f t="shared" si="88"/>
        <v>OK</v>
      </c>
      <c r="AX173" s="43" t="str">
        <f t="shared" si="88"/>
        <v>OK</v>
      </c>
      <c r="AY173" s="43" t="str">
        <f t="shared" si="88"/>
        <v>OK</v>
      </c>
      <c r="AZ173" s="43" t="str">
        <f t="shared" si="88"/>
        <v>OK</v>
      </c>
      <c r="BA173" s="44" t="str">
        <f t="shared" si="88"/>
        <v>OK</v>
      </c>
    </row>
    <row r="174" spans="1:53" s="246" customFormat="1" outlineLevel="1">
      <c r="A174" s="244"/>
      <c r="B174" s="244"/>
      <c r="C174" s="241" t="s">
        <v>137</v>
      </c>
      <c r="D174" s="121" t="s">
        <v>137</v>
      </c>
      <c r="E174" s="245" t="s">
        <v>155</v>
      </c>
      <c r="F174" s="326" t="s">
        <v>27</v>
      </c>
      <c r="G174" s="242" t="s">
        <v>27</v>
      </c>
      <c r="H174" s="242" t="s">
        <v>27</v>
      </c>
      <c r="I174" s="242" t="s">
        <v>27</v>
      </c>
      <c r="J174" s="242" t="s">
        <v>27</v>
      </c>
      <c r="K174" s="242" t="s">
        <v>27</v>
      </c>
      <c r="L174" s="242" t="s">
        <v>27</v>
      </c>
      <c r="M174" s="327" t="s">
        <v>27</v>
      </c>
      <c r="N174" s="334" t="str">
        <f t="shared" ref="N174:BA174" si="89">IF(N42&gt;=N43,"OK","BŁĄD")</f>
        <v>OK</v>
      </c>
      <c r="O174" s="43" t="str">
        <f t="shared" si="89"/>
        <v>OK</v>
      </c>
      <c r="P174" s="43" t="str">
        <f t="shared" si="89"/>
        <v>OK</v>
      </c>
      <c r="Q174" s="43" t="str">
        <f t="shared" si="89"/>
        <v>OK</v>
      </c>
      <c r="R174" s="43" t="str">
        <f t="shared" si="89"/>
        <v>OK</v>
      </c>
      <c r="S174" s="43" t="str">
        <f t="shared" si="89"/>
        <v>OK</v>
      </c>
      <c r="T174" s="43" t="str">
        <f t="shared" si="89"/>
        <v>OK</v>
      </c>
      <c r="U174" s="43" t="str">
        <f t="shared" si="89"/>
        <v>OK</v>
      </c>
      <c r="V174" s="43" t="str">
        <f t="shared" si="89"/>
        <v>OK</v>
      </c>
      <c r="W174" s="43" t="str">
        <f t="shared" si="89"/>
        <v>OK</v>
      </c>
      <c r="X174" s="43" t="str">
        <f t="shared" si="89"/>
        <v>OK</v>
      </c>
      <c r="Y174" s="43" t="str">
        <f t="shared" si="89"/>
        <v>OK</v>
      </c>
      <c r="Z174" s="43" t="str">
        <f t="shared" si="89"/>
        <v>OK</v>
      </c>
      <c r="AA174" s="43" t="str">
        <f t="shared" si="89"/>
        <v>OK</v>
      </c>
      <c r="AB174" s="43" t="str">
        <f t="shared" si="89"/>
        <v>OK</v>
      </c>
      <c r="AC174" s="43" t="str">
        <f t="shared" si="89"/>
        <v>OK</v>
      </c>
      <c r="AD174" s="43" t="str">
        <f t="shared" si="89"/>
        <v>OK</v>
      </c>
      <c r="AE174" s="43" t="str">
        <f t="shared" si="89"/>
        <v>OK</v>
      </c>
      <c r="AF174" s="43" t="str">
        <f t="shared" si="89"/>
        <v>OK</v>
      </c>
      <c r="AG174" s="43" t="str">
        <f t="shared" si="89"/>
        <v>OK</v>
      </c>
      <c r="AH174" s="43" t="str">
        <f t="shared" si="89"/>
        <v>OK</v>
      </c>
      <c r="AI174" s="43" t="str">
        <f t="shared" si="89"/>
        <v>OK</v>
      </c>
      <c r="AJ174" s="43" t="str">
        <f t="shared" si="89"/>
        <v>OK</v>
      </c>
      <c r="AK174" s="43" t="str">
        <f t="shared" si="89"/>
        <v>OK</v>
      </c>
      <c r="AL174" s="43" t="str">
        <f t="shared" si="89"/>
        <v>OK</v>
      </c>
      <c r="AM174" s="43" t="str">
        <f t="shared" si="89"/>
        <v>OK</v>
      </c>
      <c r="AN174" s="43" t="str">
        <f t="shared" si="89"/>
        <v>OK</v>
      </c>
      <c r="AO174" s="43" t="str">
        <f t="shared" si="89"/>
        <v>OK</v>
      </c>
      <c r="AP174" s="43" t="str">
        <f t="shared" si="89"/>
        <v>OK</v>
      </c>
      <c r="AQ174" s="43" t="str">
        <f t="shared" si="89"/>
        <v>OK</v>
      </c>
      <c r="AR174" s="43" t="str">
        <f t="shared" si="89"/>
        <v>OK</v>
      </c>
      <c r="AS174" s="43" t="str">
        <f t="shared" si="89"/>
        <v>OK</v>
      </c>
      <c r="AT174" s="43" t="str">
        <f t="shared" si="89"/>
        <v>OK</v>
      </c>
      <c r="AU174" s="43" t="str">
        <f t="shared" si="89"/>
        <v>OK</v>
      </c>
      <c r="AV174" s="43" t="str">
        <f t="shared" si="89"/>
        <v>OK</v>
      </c>
      <c r="AW174" s="43" t="str">
        <f t="shared" si="89"/>
        <v>OK</v>
      </c>
      <c r="AX174" s="43" t="str">
        <f t="shared" si="89"/>
        <v>OK</v>
      </c>
      <c r="AY174" s="43" t="str">
        <f t="shared" si="89"/>
        <v>OK</v>
      </c>
      <c r="AZ174" s="43" t="str">
        <f t="shared" si="89"/>
        <v>OK</v>
      </c>
      <c r="BA174" s="44" t="str">
        <f t="shared" si="89"/>
        <v>OK</v>
      </c>
    </row>
    <row r="175" spans="1:53" s="246" customFormat="1" outlineLevel="1">
      <c r="A175" s="244"/>
      <c r="B175" s="244"/>
      <c r="C175" s="241" t="s">
        <v>137</v>
      </c>
      <c r="D175" s="121" t="s">
        <v>400</v>
      </c>
      <c r="E175" s="245" t="s">
        <v>434</v>
      </c>
      <c r="F175" s="326" t="s">
        <v>27</v>
      </c>
      <c r="G175" s="242" t="s">
        <v>27</v>
      </c>
      <c r="H175" s="242" t="s">
        <v>27</v>
      </c>
      <c r="I175" s="242" t="s">
        <v>27</v>
      </c>
      <c r="J175" s="242" t="s">
        <v>27</v>
      </c>
      <c r="K175" s="242" t="s">
        <v>27</v>
      </c>
      <c r="L175" s="242" t="s">
        <v>27</v>
      </c>
      <c r="M175" s="327" t="s">
        <v>27</v>
      </c>
      <c r="N175" s="334" t="str">
        <f t="shared" ref="N175:BA175" si="90">IF(N44&gt;=N45,"OK","BŁĄD")</f>
        <v>OK</v>
      </c>
      <c r="O175" s="43" t="str">
        <f t="shared" si="90"/>
        <v>OK</v>
      </c>
      <c r="P175" s="43" t="str">
        <f t="shared" si="90"/>
        <v>OK</v>
      </c>
      <c r="Q175" s="43" t="str">
        <f t="shared" si="90"/>
        <v>OK</v>
      </c>
      <c r="R175" s="43" t="str">
        <f t="shared" si="90"/>
        <v>OK</v>
      </c>
      <c r="S175" s="43" t="str">
        <f t="shared" si="90"/>
        <v>OK</v>
      </c>
      <c r="T175" s="43" t="str">
        <f t="shared" si="90"/>
        <v>OK</v>
      </c>
      <c r="U175" s="43" t="str">
        <f t="shared" si="90"/>
        <v>OK</v>
      </c>
      <c r="V175" s="43" t="str">
        <f t="shared" si="90"/>
        <v>OK</v>
      </c>
      <c r="W175" s="43" t="str">
        <f t="shared" si="90"/>
        <v>OK</v>
      </c>
      <c r="X175" s="43" t="str">
        <f t="shared" si="90"/>
        <v>OK</v>
      </c>
      <c r="Y175" s="43" t="str">
        <f t="shared" si="90"/>
        <v>OK</v>
      </c>
      <c r="Z175" s="43" t="str">
        <f t="shared" si="90"/>
        <v>OK</v>
      </c>
      <c r="AA175" s="43" t="str">
        <f t="shared" si="90"/>
        <v>OK</v>
      </c>
      <c r="AB175" s="43" t="str">
        <f t="shared" si="90"/>
        <v>OK</v>
      </c>
      <c r="AC175" s="43" t="str">
        <f t="shared" si="90"/>
        <v>OK</v>
      </c>
      <c r="AD175" s="43" t="str">
        <f t="shared" si="90"/>
        <v>OK</v>
      </c>
      <c r="AE175" s="43" t="str">
        <f t="shared" si="90"/>
        <v>OK</v>
      </c>
      <c r="AF175" s="43" t="str">
        <f t="shared" si="90"/>
        <v>OK</v>
      </c>
      <c r="AG175" s="43" t="str">
        <f t="shared" si="90"/>
        <v>OK</v>
      </c>
      <c r="AH175" s="43" t="str">
        <f t="shared" si="90"/>
        <v>OK</v>
      </c>
      <c r="AI175" s="43" t="str">
        <f t="shared" si="90"/>
        <v>OK</v>
      </c>
      <c r="AJ175" s="43" t="str">
        <f t="shared" si="90"/>
        <v>OK</v>
      </c>
      <c r="AK175" s="43" t="str">
        <f t="shared" si="90"/>
        <v>OK</v>
      </c>
      <c r="AL175" s="43" t="str">
        <f t="shared" si="90"/>
        <v>OK</v>
      </c>
      <c r="AM175" s="43" t="str">
        <f t="shared" si="90"/>
        <v>OK</v>
      </c>
      <c r="AN175" s="43" t="str">
        <f t="shared" si="90"/>
        <v>OK</v>
      </c>
      <c r="AO175" s="43" t="str">
        <f t="shared" si="90"/>
        <v>OK</v>
      </c>
      <c r="AP175" s="43" t="str">
        <f t="shared" si="90"/>
        <v>OK</v>
      </c>
      <c r="AQ175" s="43" t="str">
        <f t="shared" si="90"/>
        <v>OK</v>
      </c>
      <c r="AR175" s="43" t="str">
        <f t="shared" si="90"/>
        <v>OK</v>
      </c>
      <c r="AS175" s="43" t="str">
        <f t="shared" si="90"/>
        <v>OK</v>
      </c>
      <c r="AT175" s="43" t="str">
        <f t="shared" si="90"/>
        <v>OK</v>
      </c>
      <c r="AU175" s="43" t="str">
        <f t="shared" si="90"/>
        <v>OK</v>
      </c>
      <c r="AV175" s="43" t="str">
        <f t="shared" si="90"/>
        <v>OK</v>
      </c>
      <c r="AW175" s="43" t="str">
        <f t="shared" si="90"/>
        <v>OK</v>
      </c>
      <c r="AX175" s="43" t="str">
        <f t="shared" si="90"/>
        <v>OK</v>
      </c>
      <c r="AY175" s="43" t="str">
        <f t="shared" si="90"/>
        <v>OK</v>
      </c>
      <c r="AZ175" s="43" t="str">
        <f t="shared" si="90"/>
        <v>OK</v>
      </c>
      <c r="BA175" s="44" t="str">
        <f t="shared" si="90"/>
        <v>OK</v>
      </c>
    </row>
    <row r="176" spans="1:53" s="246" customFormat="1" outlineLevel="1">
      <c r="A176" s="244"/>
      <c r="B176" s="244"/>
      <c r="C176" s="241" t="s">
        <v>140</v>
      </c>
      <c r="D176" s="121" t="s">
        <v>140</v>
      </c>
      <c r="E176" s="245" t="s">
        <v>156</v>
      </c>
      <c r="F176" s="326" t="s">
        <v>27</v>
      </c>
      <c r="G176" s="242" t="s">
        <v>27</v>
      </c>
      <c r="H176" s="242" t="s">
        <v>27</v>
      </c>
      <c r="I176" s="242" t="s">
        <v>27</v>
      </c>
      <c r="J176" s="242" t="s">
        <v>27</v>
      </c>
      <c r="K176" s="242" t="s">
        <v>27</v>
      </c>
      <c r="L176" s="242" t="s">
        <v>27</v>
      </c>
      <c r="M176" s="327" t="s">
        <v>27</v>
      </c>
      <c r="N176" s="334" t="str">
        <f t="shared" ref="N176:BA176" si="91">IF(N47&gt;=N48,"OK","BŁĄD")</f>
        <v>OK</v>
      </c>
      <c r="O176" s="43" t="str">
        <f t="shared" si="91"/>
        <v>OK</v>
      </c>
      <c r="P176" s="43" t="str">
        <f t="shared" si="91"/>
        <v>OK</v>
      </c>
      <c r="Q176" s="43" t="str">
        <f t="shared" si="91"/>
        <v>OK</v>
      </c>
      <c r="R176" s="43" t="str">
        <f t="shared" si="91"/>
        <v>OK</v>
      </c>
      <c r="S176" s="43" t="str">
        <f t="shared" si="91"/>
        <v>OK</v>
      </c>
      <c r="T176" s="43" t="str">
        <f t="shared" si="91"/>
        <v>OK</v>
      </c>
      <c r="U176" s="43" t="str">
        <f t="shared" si="91"/>
        <v>OK</v>
      </c>
      <c r="V176" s="43" t="str">
        <f t="shared" si="91"/>
        <v>OK</v>
      </c>
      <c r="W176" s="43" t="str">
        <f t="shared" si="91"/>
        <v>OK</v>
      </c>
      <c r="X176" s="43" t="str">
        <f t="shared" si="91"/>
        <v>OK</v>
      </c>
      <c r="Y176" s="43" t="str">
        <f t="shared" si="91"/>
        <v>OK</v>
      </c>
      <c r="Z176" s="43" t="str">
        <f t="shared" si="91"/>
        <v>OK</v>
      </c>
      <c r="AA176" s="43" t="str">
        <f t="shared" si="91"/>
        <v>OK</v>
      </c>
      <c r="AB176" s="43" t="str">
        <f t="shared" si="91"/>
        <v>OK</v>
      </c>
      <c r="AC176" s="43" t="str">
        <f t="shared" si="91"/>
        <v>OK</v>
      </c>
      <c r="AD176" s="43" t="str">
        <f t="shared" si="91"/>
        <v>OK</v>
      </c>
      <c r="AE176" s="43" t="str">
        <f t="shared" si="91"/>
        <v>OK</v>
      </c>
      <c r="AF176" s="43" t="str">
        <f t="shared" si="91"/>
        <v>OK</v>
      </c>
      <c r="AG176" s="43" t="str">
        <f t="shared" si="91"/>
        <v>OK</v>
      </c>
      <c r="AH176" s="43" t="str">
        <f t="shared" si="91"/>
        <v>OK</v>
      </c>
      <c r="AI176" s="43" t="str">
        <f t="shared" si="91"/>
        <v>OK</v>
      </c>
      <c r="AJ176" s="43" t="str">
        <f t="shared" si="91"/>
        <v>OK</v>
      </c>
      <c r="AK176" s="43" t="str">
        <f t="shared" si="91"/>
        <v>OK</v>
      </c>
      <c r="AL176" s="43" t="str">
        <f t="shared" si="91"/>
        <v>OK</v>
      </c>
      <c r="AM176" s="43" t="str">
        <f t="shared" si="91"/>
        <v>OK</v>
      </c>
      <c r="AN176" s="43" t="str">
        <f t="shared" si="91"/>
        <v>OK</v>
      </c>
      <c r="AO176" s="43" t="str">
        <f t="shared" si="91"/>
        <v>OK</v>
      </c>
      <c r="AP176" s="43" t="str">
        <f t="shared" si="91"/>
        <v>OK</v>
      </c>
      <c r="AQ176" s="43" t="str">
        <f t="shared" si="91"/>
        <v>OK</v>
      </c>
      <c r="AR176" s="43" t="str">
        <f t="shared" si="91"/>
        <v>OK</v>
      </c>
      <c r="AS176" s="43" t="str">
        <f t="shared" si="91"/>
        <v>OK</v>
      </c>
      <c r="AT176" s="43" t="str">
        <f t="shared" si="91"/>
        <v>OK</v>
      </c>
      <c r="AU176" s="43" t="str">
        <f t="shared" si="91"/>
        <v>OK</v>
      </c>
      <c r="AV176" s="43" t="str">
        <f t="shared" si="91"/>
        <v>OK</v>
      </c>
      <c r="AW176" s="43" t="str">
        <f t="shared" si="91"/>
        <v>OK</v>
      </c>
      <c r="AX176" s="43" t="str">
        <f t="shared" si="91"/>
        <v>OK</v>
      </c>
      <c r="AY176" s="43" t="str">
        <f t="shared" si="91"/>
        <v>OK</v>
      </c>
      <c r="AZ176" s="43" t="str">
        <f t="shared" si="91"/>
        <v>OK</v>
      </c>
      <c r="BA176" s="44" t="str">
        <f t="shared" si="91"/>
        <v>OK</v>
      </c>
    </row>
    <row r="177" spans="1:53" s="246" customFormat="1" outlineLevel="1">
      <c r="A177" s="244"/>
      <c r="B177" s="244"/>
      <c r="C177" s="241" t="s">
        <v>138</v>
      </c>
      <c r="D177" s="121" t="s">
        <v>401</v>
      </c>
      <c r="E177" s="245" t="s">
        <v>435</v>
      </c>
      <c r="F177" s="326" t="s">
        <v>27</v>
      </c>
      <c r="G177" s="242" t="s">
        <v>27</v>
      </c>
      <c r="H177" s="242" t="s">
        <v>27</v>
      </c>
      <c r="I177" s="242" t="s">
        <v>27</v>
      </c>
      <c r="J177" s="242" t="s">
        <v>27</v>
      </c>
      <c r="K177" s="242" t="s">
        <v>27</v>
      </c>
      <c r="L177" s="242" t="s">
        <v>27</v>
      </c>
      <c r="M177" s="327" t="s">
        <v>27</v>
      </c>
      <c r="N177" s="334" t="str">
        <f t="shared" ref="N177:BA177" si="92">IF(N47&gt;=N34,"OK","BŁĄD")</f>
        <v>OK</v>
      </c>
      <c r="O177" s="43" t="str">
        <f t="shared" si="92"/>
        <v>OK</v>
      </c>
      <c r="P177" s="43" t="str">
        <f t="shared" si="92"/>
        <v>OK</v>
      </c>
      <c r="Q177" s="43" t="str">
        <f t="shared" si="92"/>
        <v>OK</v>
      </c>
      <c r="R177" s="43" t="str">
        <f t="shared" si="92"/>
        <v>OK</v>
      </c>
      <c r="S177" s="43" t="str">
        <f t="shared" si="92"/>
        <v>OK</v>
      </c>
      <c r="T177" s="43" t="str">
        <f t="shared" si="92"/>
        <v>OK</v>
      </c>
      <c r="U177" s="43" t="str">
        <f t="shared" si="92"/>
        <v>OK</v>
      </c>
      <c r="V177" s="43" t="str">
        <f t="shared" si="92"/>
        <v>OK</v>
      </c>
      <c r="W177" s="43" t="str">
        <f t="shared" si="92"/>
        <v>OK</v>
      </c>
      <c r="X177" s="43" t="str">
        <f t="shared" si="92"/>
        <v>OK</v>
      </c>
      <c r="Y177" s="43" t="str">
        <f t="shared" si="92"/>
        <v>OK</v>
      </c>
      <c r="Z177" s="43" t="str">
        <f t="shared" si="92"/>
        <v>OK</v>
      </c>
      <c r="AA177" s="43" t="str">
        <f t="shared" si="92"/>
        <v>OK</v>
      </c>
      <c r="AB177" s="43" t="str">
        <f t="shared" si="92"/>
        <v>OK</v>
      </c>
      <c r="AC177" s="43" t="str">
        <f t="shared" si="92"/>
        <v>OK</v>
      </c>
      <c r="AD177" s="43" t="str">
        <f t="shared" si="92"/>
        <v>OK</v>
      </c>
      <c r="AE177" s="43" t="str">
        <f t="shared" si="92"/>
        <v>OK</v>
      </c>
      <c r="AF177" s="43" t="str">
        <f t="shared" si="92"/>
        <v>OK</v>
      </c>
      <c r="AG177" s="43" t="str">
        <f t="shared" si="92"/>
        <v>OK</v>
      </c>
      <c r="AH177" s="43" t="str">
        <f t="shared" si="92"/>
        <v>OK</v>
      </c>
      <c r="AI177" s="43" t="str">
        <f t="shared" si="92"/>
        <v>OK</v>
      </c>
      <c r="AJ177" s="43" t="str">
        <f t="shared" si="92"/>
        <v>OK</v>
      </c>
      <c r="AK177" s="43" t="str">
        <f t="shared" si="92"/>
        <v>OK</v>
      </c>
      <c r="AL177" s="43" t="str">
        <f t="shared" si="92"/>
        <v>OK</v>
      </c>
      <c r="AM177" s="43" t="str">
        <f t="shared" si="92"/>
        <v>OK</v>
      </c>
      <c r="AN177" s="43" t="str">
        <f t="shared" si="92"/>
        <v>OK</v>
      </c>
      <c r="AO177" s="43" t="str">
        <f t="shared" si="92"/>
        <v>OK</v>
      </c>
      <c r="AP177" s="43" t="str">
        <f t="shared" si="92"/>
        <v>OK</v>
      </c>
      <c r="AQ177" s="43" t="str">
        <f t="shared" si="92"/>
        <v>OK</v>
      </c>
      <c r="AR177" s="43" t="str">
        <f t="shared" si="92"/>
        <v>OK</v>
      </c>
      <c r="AS177" s="43" t="str">
        <f t="shared" si="92"/>
        <v>OK</v>
      </c>
      <c r="AT177" s="43" t="str">
        <f t="shared" si="92"/>
        <v>OK</v>
      </c>
      <c r="AU177" s="43" t="str">
        <f t="shared" si="92"/>
        <v>OK</v>
      </c>
      <c r="AV177" s="43" t="str">
        <f t="shared" si="92"/>
        <v>OK</v>
      </c>
      <c r="AW177" s="43" t="str">
        <f t="shared" si="92"/>
        <v>OK</v>
      </c>
      <c r="AX177" s="43" t="str">
        <f t="shared" si="92"/>
        <v>OK</v>
      </c>
      <c r="AY177" s="43" t="str">
        <f t="shared" si="92"/>
        <v>OK</v>
      </c>
      <c r="AZ177" s="43" t="str">
        <f t="shared" si="92"/>
        <v>OK</v>
      </c>
      <c r="BA177" s="44" t="str">
        <f t="shared" si="92"/>
        <v>OK</v>
      </c>
    </row>
    <row r="178" spans="1:53" s="246" customFormat="1" outlineLevel="1">
      <c r="A178" s="244"/>
      <c r="B178" s="244"/>
      <c r="C178" s="241" t="s">
        <v>139</v>
      </c>
      <c r="D178" s="121" t="s">
        <v>402</v>
      </c>
      <c r="E178" s="248" t="s">
        <v>534</v>
      </c>
      <c r="F178" s="326" t="s">
        <v>27</v>
      </c>
      <c r="G178" s="242" t="s">
        <v>27</v>
      </c>
      <c r="H178" s="242" t="s">
        <v>27</v>
      </c>
      <c r="I178" s="242" t="s">
        <v>27</v>
      </c>
      <c r="J178" s="242" t="s">
        <v>27</v>
      </c>
      <c r="K178" s="242" t="s">
        <v>27</v>
      </c>
      <c r="L178" s="242" t="s">
        <v>27</v>
      </c>
      <c r="M178" s="327" t="s">
        <v>27</v>
      </c>
      <c r="N178" s="336" t="str">
        <f t="shared" ref="N178:BA178" si="93">IF(ROUND(N47-N98,2)=0,"bz",ROUND(N47-N98,2))</f>
        <v>bz</v>
      </c>
      <c r="O178" s="124" t="str">
        <f t="shared" si="93"/>
        <v>bz</v>
      </c>
      <c r="P178" s="124" t="str">
        <f t="shared" si="93"/>
        <v>bz</v>
      </c>
      <c r="Q178" s="124" t="str">
        <f t="shared" si="93"/>
        <v>bz</v>
      </c>
      <c r="R178" s="124" t="str">
        <f t="shared" si="93"/>
        <v>bz</v>
      </c>
      <c r="S178" s="124" t="str">
        <f t="shared" si="93"/>
        <v>bz</v>
      </c>
      <c r="T178" s="124" t="str">
        <f t="shared" si="93"/>
        <v>bz</v>
      </c>
      <c r="U178" s="124">
        <f t="shared" si="93"/>
        <v>1000000</v>
      </c>
      <c r="V178" s="124">
        <f t="shared" si="93"/>
        <v>1500000</v>
      </c>
      <c r="W178" s="124">
        <f t="shared" si="93"/>
        <v>1500000</v>
      </c>
      <c r="X178" s="124">
        <f t="shared" si="93"/>
        <v>1750000</v>
      </c>
      <c r="Y178" s="124">
        <f t="shared" si="93"/>
        <v>1750000</v>
      </c>
      <c r="Z178" s="124" t="str">
        <f t="shared" si="93"/>
        <v>bz</v>
      </c>
      <c r="AA178" s="124" t="str">
        <f t="shared" si="93"/>
        <v>bz</v>
      </c>
      <c r="AB178" s="124" t="str">
        <f t="shared" si="93"/>
        <v>bz</v>
      </c>
      <c r="AC178" s="124" t="str">
        <f t="shared" si="93"/>
        <v>bz</v>
      </c>
      <c r="AD178" s="124" t="str">
        <f t="shared" si="93"/>
        <v>bz</v>
      </c>
      <c r="AE178" s="124" t="str">
        <f t="shared" si="93"/>
        <v>bz</v>
      </c>
      <c r="AF178" s="124" t="str">
        <f t="shared" si="93"/>
        <v>bz</v>
      </c>
      <c r="AG178" s="124" t="str">
        <f t="shared" si="93"/>
        <v>bz</v>
      </c>
      <c r="AH178" s="124" t="str">
        <f t="shared" si="93"/>
        <v>bz</v>
      </c>
      <c r="AI178" s="124" t="str">
        <f t="shared" si="93"/>
        <v>bz</v>
      </c>
      <c r="AJ178" s="124" t="str">
        <f t="shared" si="93"/>
        <v>bz</v>
      </c>
      <c r="AK178" s="124" t="str">
        <f t="shared" si="93"/>
        <v>bz</v>
      </c>
      <c r="AL178" s="124" t="str">
        <f t="shared" si="93"/>
        <v>bz</v>
      </c>
      <c r="AM178" s="124" t="str">
        <f t="shared" si="93"/>
        <v>bz</v>
      </c>
      <c r="AN178" s="124" t="str">
        <f t="shared" si="93"/>
        <v>bz</v>
      </c>
      <c r="AO178" s="124" t="str">
        <f t="shared" si="93"/>
        <v>bz</v>
      </c>
      <c r="AP178" s="124" t="str">
        <f t="shared" si="93"/>
        <v>bz</v>
      </c>
      <c r="AQ178" s="124" t="str">
        <f t="shared" si="93"/>
        <v>bz</v>
      </c>
      <c r="AR178" s="124" t="str">
        <f t="shared" si="93"/>
        <v>bz</v>
      </c>
      <c r="AS178" s="124" t="str">
        <f t="shared" si="93"/>
        <v>bz</v>
      </c>
      <c r="AT178" s="124" t="str">
        <f t="shared" si="93"/>
        <v>bz</v>
      </c>
      <c r="AU178" s="124" t="str">
        <f t="shared" si="93"/>
        <v>bz</v>
      </c>
      <c r="AV178" s="124" t="str">
        <f t="shared" si="93"/>
        <v>bz</v>
      </c>
      <c r="AW178" s="124" t="str">
        <f t="shared" si="93"/>
        <v>bz</v>
      </c>
      <c r="AX178" s="124" t="str">
        <f t="shared" si="93"/>
        <v>bz</v>
      </c>
      <c r="AY178" s="124" t="str">
        <f t="shared" si="93"/>
        <v>bz</v>
      </c>
      <c r="AZ178" s="124" t="str">
        <f t="shared" si="93"/>
        <v>bz</v>
      </c>
      <c r="BA178" s="125" t="str">
        <f t="shared" si="93"/>
        <v>bz</v>
      </c>
    </row>
    <row r="179" spans="1:53" s="246" customFormat="1" ht="54" outlineLevel="1">
      <c r="A179" s="244"/>
      <c r="B179" s="244"/>
      <c r="C179" s="241" t="s">
        <v>142</v>
      </c>
      <c r="D179" s="121" t="s">
        <v>404</v>
      </c>
      <c r="E179" s="248" t="s">
        <v>670</v>
      </c>
      <c r="F179" s="326" t="s">
        <v>27</v>
      </c>
      <c r="G179" s="242" t="s">
        <v>27</v>
      </c>
      <c r="H179" s="242" t="s">
        <v>27</v>
      </c>
      <c r="I179" s="242" t="s">
        <v>27</v>
      </c>
      <c r="J179" s="242" t="s">
        <v>27</v>
      </c>
      <c r="K179" s="242" t="s">
        <v>27</v>
      </c>
      <c r="L179" s="242" t="s">
        <v>27</v>
      </c>
      <c r="M179" s="327" t="s">
        <v>27</v>
      </c>
      <c r="N179" s="336" t="str">
        <f t="shared" ref="N179:BA179" si="94">IF(ROUND(N48-SUM(N49:N51),2)&lt;&gt;0,ROUND(N48-SUM(N49:N51),2),"OK")</f>
        <v>OK</v>
      </c>
      <c r="O179" s="124" t="str">
        <f t="shared" si="94"/>
        <v>OK</v>
      </c>
      <c r="P179" s="124" t="str">
        <f t="shared" si="94"/>
        <v>OK</v>
      </c>
      <c r="Q179" s="124" t="str">
        <f t="shared" si="94"/>
        <v>OK</v>
      </c>
      <c r="R179" s="124" t="str">
        <f t="shared" si="94"/>
        <v>OK</v>
      </c>
      <c r="S179" s="124" t="str">
        <f t="shared" si="94"/>
        <v>OK</v>
      </c>
      <c r="T179" s="124" t="str">
        <f t="shared" si="94"/>
        <v>OK</v>
      </c>
      <c r="U179" s="124" t="str">
        <f t="shared" si="94"/>
        <v>OK</v>
      </c>
      <c r="V179" s="124" t="str">
        <f t="shared" si="94"/>
        <v>OK</v>
      </c>
      <c r="W179" s="124" t="str">
        <f t="shared" si="94"/>
        <v>OK</v>
      </c>
      <c r="X179" s="124" t="str">
        <f t="shared" si="94"/>
        <v>OK</v>
      </c>
      <c r="Y179" s="124" t="str">
        <f t="shared" si="94"/>
        <v>OK</v>
      </c>
      <c r="Z179" s="124" t="str">
        <f t="shared" si="94"/>
        <v>OK</v>
      </c>
      <c r="AA179" s="124" t="str">
        <f t="shared" si="94"/>
        <v>OK</v>
      </c>
      <c r="AB179" s="124" t="str">
        <f t="shared" si="94"/>
        <v>OK</v>
      </c>
      <c r="AC179" s="124" t="str">
        <f t="shared" si="94"/>
        <v>OK</v>
      </c>
      <c r="AD179" s="124" t="str">
        <f t="shared" si="94"/>
        <v>OK</v>
      </c>
      <c r="AE179" s="124" t="str">
        <f t="shared" si="94"/>
        <v>OK</v>
      </c>
      <c r="AF179" s="124" t="str">
        <f t="shared" si="94"/>
        <v>OK</v>
      </c>
      <c r="AG179" s="124" t="str">
        <f t="shared" si="94"/>
        <v>OK</v>
      </c>
      <c r="AH179" s="124" t="str">
        <f t="shared" si="94"/>
        <v>OK</v>
      </c>
      <c r="AI179" s="124" t="str">
        <f t="shared" si="94"/>
        <v>OK</v>
      </c>
      <c r="AJ179" s="124" t="str">
        <f t="shared" si="94"/>
        <v>OK</v>
      </c>
      <c r="AK179" s="124" t="str">
        <f t="shared" si="94"/>
        <v>OK</v>
      </c>
      <c r="AL179" s="124" t="str">
        <f t="shared" si="94"/>
        <v>OK</v>
      </c>
      <c r="AM179" s="124" t="str">
        <f t="shared" si="94"/>
        <v>OK</v>
      </c>
      <c r="AN179" s="124" t="str">
        <f t="shared" si="94"/>
        <v>OK</v>
      </c>
      <c r="AO179" s="124" t="str">
        <f t="shared" si="94"/>
        <v>OK</v>
      </c>
      <c r="AP179" s="124" t="str">
        <f t="shared" si="94"/>
        <v>OK</v>
      </c>
      <c r="AQ179" s="124" t="str">
        <f t="shared" si="94"/>
        <v>OK</v>
      </c>
      <c r="AR179" s="124" t="str">
        <f t="shared" si="94"/>
        <v>OK</v>
      </c>
      <c r="AS179" s="124" t="str">
        <f t="shared" si="94"/>
        <v>OK</v>
      </c>
      <c r="AT179" s="124" t="str">
        <f t="shared" si="94"/>
        <v>OK</v>
      </c>
      <c r="AU179" s="124" t="str">
        <f t="shared" si="94"/>
        <v>OK</v>
      </c>
      <c r="AV179" s="124" t="str">
        <f t="shared" si="94"/>
        <v>OK</v>
      </c>
      <c r="AW179" s="124" t="str">
        <f t="shared" si="94"/>
        <v>OK</v>
      </c>
      <c r="AX179" s="124" t="str">
        <f t="shared" si="94"/>
        <v>OK</v>
      </c>
      <c r="AY179" s="124" t="str">
        <f t="shared" si="94"/>
        <v>OK</v>
      </c>
      <c r="AZ179" s="124" t="str">
        <f t="shared" si="94"/>
        <v>OK</v>
      </c>
      <c r="BA179" s="125" t="str">
        <f t="shared" si="94"/>
        <v>OK</v>
      </c>
    </row>
    <row r="180" spans="1:53" s="246" customFormat="1" outlineLevel="1">
      <c r="A180" s="244"/>
      <c r="B180" s="244"/>
      <c r="C180" s="241"/>
      <c r="D180" s="121"/>
      <c r="E180" s="245" t="s">
        <v>597</v>
      </c>
      <c r="F180" s="326" t="s">
        <v>27</v>
      </c>
      <c r="G180" s="242" t="s">
        <v>27</v>
      </c>
      <c r="H180" s="242" t="s">
        <v>27</v>
      </c>
      <c r="I180" s="242" t="s">
        <v>27</v>
      </c>
      <c r="J180" s="242" t="s">
        <v>27</v>
      </c>
      <c r="K180" s="242" t="s">
        <v>27</v>
      </c>
      <c r="L180" s="242" t="s">
        <v>27</v>
      </c>
      <c r="M180" s="327" t="s">
        <v>27</v>
      </c>
      <c r="N180" s="336" t="str">
        <f t="shared" ref="N180:BA180" si="95">IF(IdRozp="A7F0",IF(ROUND(N48-SUM(N49:N51,N55),2)&lt;&gt;0,ROUND(N48-SUM(N49:N51,N55),2),"OK"),"nd")</f>
        <v>nd</v>
      </c>
      <c r="O180" s="124" t="str">
        <f t="shared" si="95"/>
        <v>nd</v>
      </c>
      <c r="P180" s="124" t="str">
        <f t="shared" si="95"/>
        <v>nd</v>
      </c>
      <c r="Q180" s="124" t="str">
        <f t="shared" si="95"/>
        <v>nd</v>
      </c>
      <c r="R180" s="124" t="str">
        <f t="shared" si="95"/>
        <v>nd</v>
      </c>
      <c r="S180" s="124" t="str">
        <f t="shared" si="95"/>
        <v>nd</v>
      </c>
      <c r="T180" s="124" t="str">
        <f t="shared" si="95"/>
        <v>nd</v>
      </c>
      <c r="U180" s="124" t="str">
        <f t="shared" si="95"/>
        <v>nd</v>
      </c>
      <c r="V180" s="124" t="str">
        <f t="shared" si="95"/>
        <v>nd</v>
      </c>
      <c r="W180" s="124" t="str">
        <f t="shared" si="95"/>
        <v>nd</v>
      </c>
      <c r="X180" s="124" t="str">
        <f t="shared" si="95"/>
        <v>nd</v>
      </c>
      <c r="Y180" s="124" t="str">
        <f t="shared" si="95"/>
        <v>nd</v>
      </c>
      <c r="Z180" s="124" t="str">
        <f t="shared" si="95"/>
        <v>nd</v>
      </c>
      <c r="AA180" s="124" t="str">
        <f t="shared" si="95"/>
        <v>nd</v>
      </c>
      <c r="AB180" s="124" t="str">
        <f t="shared" si="95"/>
        <v>nd</v>
      </c>
      <c r="AC180" s="124" t="str">
        <f t="shared" si="95"/>
        <v>nd</v>
      </c>
      <c r="AD180" s="124" t="str">
        <f t="shared" si="95"/>
        <v>nd</v>
      </c>
      <c r="AE180" s="124" t="str">
        <f t="shared" si="95"/>
        <v>nd</v>
      </c>
      <c r="AF180" s="124" t="str">
        <f t="shared" si="95"/>
        <v>nd</v>
      </c>
      <c r="AG180" s="124" t="str">
        <f t="shared" si="95"/>
        <v>nd</v>
      </c>
      <c r="AH180" s="124" t="str">
        <f t="shared" si="95"/>
        <v>nd</v>
      </c>
      <c r="AI180" s="124" t="str">
        <f t="shared" si="95"/>
        <v>nd</v>
      </c>
      <c r="AJ180" s="124" t="str">
        <f t="shared" si="95"/>
        <v>nd</v>
      </c>
      <c r="AK180" s="124" t="str">
        <f t="shared" si="95"/>
        <v>nd</v>
      </c>
      <c r="AL180" s="124" t="str">
        <f t="shared" si="95"/>
        <v>nd</v>
      </c>
      <c r="AM180" s="124" t="str">
        <f t="shared" si="95"/>
        <v>nd</v>
      </c>
      <c r="AN180" s="124" t="str">
        <f t="shared" si="95"/>
        <v>nd</v>
      </c>
      <c r="AO180" s="124" t="str">
        <f t="shared" si="95"/>
        <v>nd</v>
      </c>
      <c r="AP180" s="124" t="str">
        <f t="shared" si="95"/>
        <v>nd</v>
      </c>
      <c r="AQ180" s="124" t="str">
        <f t="shared" si="95"/>
        <v>nd</v>
      </c>
      <c r="AR180" s="124" t="str">
        <f t="shared" si="95"/>
        <v>nd</v>
      </c>
      <c r="AS180" s="124" t="str">
        <f t="shared" si="95"/>
        <v>nd</v>
      </c>
      <c r="AT180" s="124" t="str">
        <f t="shared" si="95"/>
        <v>nd</v>
      </c>
      <c r="AU180" s="124" t="str">
        <f t="shared" si="95"/>
        <v>nd</v>
      </c>
      <c r="AV180" s="124" t="str">
        <f t="shared" si="95"/>
        <v>nd</v>
      </c>
      <c r="AW180" s="124" t="str">
        <f t="shared" si="95"/>
        <v>nd</v>
      </c>
      <c r="AX180" s="124" t="str">
        <f t="shared" si="95"/>
        <v>nd</v>
      </c>
      <c r="AY180" s="124" t="str">
        <f t="shared" si="95"/>
        <v>nd</v>
      </c>
      <c r="AZ180" s="124" t="str">
        <f t="shared" si="95"/>
        <v>nd</v>
      </c>
      <c r="BA180" s="125" t="str">
        <f t="shared" si="95"/>
        <v>nd</v>
      </c>
    </row>
    <row r="181" spans="1:53" s="246" customFormat="1" outlineLevel="1">
      <c r="A181" s="244"/>
      <c r="B181" s="244"/>
      <c r="C181" s="241" t="s">
        <v>141</v>
      </c>
      <c r="D181" s="121" t="s">
        <v>405</v>
      </c>
      <c r="E181" s="245" t="s">
        <v>436</v>
      </c>
      <c r="F181" s="326" t="s">
        <v>27</v>
      </c>
      <c r="G181" s="242" t="s">
        <v>27</v>
      </c>
      <c r="H181" s="242" t="s">
        <v>27</v>
      </c>
      <c r="I181" s="242" t="s">
        <v>27</v>
      </c>
      <c r="J181" s="242" t="s">
        <v>27</v>
      </c>
      <c r="K181" s="242" t="s">
        <v>27</v>
      </c>
      <c r="L181" s="242" t="s">
        <v>27</v>
      </c>
      <c r="M181" s="327" t="s">
        <v>27</v>
      </c>
      <c r="N181" s="334" t="str">
        <f t="shared" ref="N181:BA181" si="96">IF(ROUND(N51-SUM(N52:N54),2)=0,"OK","BŁĄD")</f>
        <v>OK</v>
      </c>
      <c r="O181" s="43" t="str">
        <f t="shared" si="96"/>
        <v>OK</v>
      </c>
      <c r="P181" s="43" t="str">
        <f t="shared" si="96"/>
        <v>OK</v>
      </c>
      <c r="Q181" s="43" t="str">
        <f t="shared" si="96"/>
        <v>OK</v>
      </c>
      <c r="R181" s="43" t="str">
        <f t="shared" si="96"/>
        <v>OK</v>
      </c>
      <c r="S181" s="43" t="str">
        <f t="shared" si="96"/>
        <v>OK</v>
      </c>
      <c r="T181" s="43" t="str">
        <f t="shared" si="96"/>
        <v>OK</v>
      </c>
      <c r="U181" s="43" t="str">
        <f t="shared" si="96"/>
        <v>OK</v>
      </c>
      <c r="V181" s="43" t="str">
        <f t="shared" si="96"/>
        <v>OK</v>
      </c>
      <c r="W181" s="43" t="str">
        <f t="shared" si="96"/>
        <v>OK</v>
      </c>
      <c r="X181" s="43" t="str">
        <f t="shared" si="96"/>
        <v>OK</v>
      </c>
      <c r="Y181" s="43" t="str">
        <f t="shared" si="96"/>
        <v>OK</v>
      </c>
      <c r="Z181" s="43" t="str">
        <f t="shared" si="96"/>
        <v>OK</v>
      </c>
      <c r="AA181" s="43" t="str">
        <f t="shared" si="96"/>
        <v>OK</v>
      </c>
      <c r="AB181" s="43" t="str">
        <f t="shared" si="96"/>
        <v>OK</v>
      </c>
      <c r="AC181" s="43" t="str">
        <f t="shared" si="96"/>
        <v>OK</v>
      </c>
      <c r="AD181" s="43" t="str">
        <f t="shared" si="96"/>
        <v>OK</v>
      </c>
      <c r="AE181" s="43" t="str">
        <f t="shared" si="96"/>
        <v>OK</v>
      </c>
      <c r="AF181" s="43" t="str">
        <f t="shared" si="96"/>
        <v>OK</v>
      </c>
      <c r="AG181" s="43" t="str">
        <f t="shared" si="96"/>
        <v>OK</v>
      </c>
      <c r="AH181" s="43" t="str">
        <f t="shared" si="96"/>
        <v>OK</v>
      </c>
      <c r="AI181" s="43" t="str">
        <f t="shared" si="96"/>
        <v>OK</v>
      </c>
      <c r="AJ181" s="43" t="str">
        <f t="shared" si="96"/>
        <v>OK</v>
      </c>
      <c r="AK181" s="43" t="str">
        <f t="shared" si="96"/>
        <v>OK</v>
      </c>
      <c r="AL181" s="43" t="str">
        <f t="shared" si="96"/>
        <v>OK</v>
      </c>
      <c r="AM181" s="43" t="str">
        <f t="shared" si="96"/>
        <v>OK</v>
      </c>
      <c r="AN181" s="43" t="str">
        <f t="shared" si="96"/>
        <v>OK</v>
      </c>
      <c r="AO181" s="43" t="str">
        <f t="shared" si="96"/>
        <v>OK</v>
      </c>
      <c r="AP181" s="43" t="str">
        <f t="shared" si="96"/>
        <v>OK</v>
      </c>
      <c r="AQ181" s="43" t="str">
        <f t="shared" si="96"/>
        <v>OK</v>
      </c>
      <c r="AR181" s="43" t="str">
        <f t="shared" si="96"/>
        <v>OK</v>
      </c>
      <c r="AS181" s="43" t="str">
        <f t="shared" si="96"/>
        <v>OK</v>
      </c>
      <c r="AT181" s="43" t="str">
        <f t="shared" si="96"/>
        <v>OK</v>
      </c>
      <c r="AU181" s="43" t="str">
        <f t="shared" si="96"/>
        <v>OK</v>
      </c>
      <c r="AV181" s="43" t="str">
        <f t="shared" si="96"/>
        <v>OK</v>
      </c>
      <c r="AW181" s="43" t="str">
        <f t="shared" si="96"/>
        <v>OK</v>
      </c>
      <c r="AX181" s="43" t="str">
        <f t="shared" si="96"/>
        <v>OK</v>
      </c>
      <c r="AY181" s="43" t="str">
        <f t="shared" si="96"/>
        <v>OK</v>
      </c>
      <c r="AZ181" s="43" t="str">
        <f t="shared" si="96"/>
        <v>OK</v>
      </c>
      <c r="BA181" s="44" t="str">
        <f t="shared" si="96"/>
        <v>OK</v>
      </c>
    </row>
    <row r="182" spans="1:53" s="246" customFormat="1" outlineLevel="1">
      <c r="A182" s="244"/>
      <c r="B182" s="244"/>
      <c r="C182" s="241" t="s">
        <v>143</v>
      </c>
      <c r="D182" s="121" t="s">
        <v>403</v>
      </c>
      <c r="E182" s="245" t="s">
        <v>437</v>
      </c>
      <c r="F182" s="326" t="s">
        <v>27</v>
      </c>
      <c r="G182" s="242" t="s">
        <v>27</v>
      </c>
      <c r="H182" s="242" t="s">
        <v>27</v>
      </c>
      <c r="I182" s="242" t="s">
        <v>27</v>
      </c>
      <c r="J182" s="242" t="s">
        <v>27</v>
      </c>
      <c r="K182" s="242" t="s">
        <v>27</v>
      </c>
      <c r="L182" s="242" t="s">
        <v>27</v>
      </c>
      <c r="M182" s="327" t="s">
        <v>27</v>
      </c>
      <c r="N182" s="334" t="str">
        <f t="shared" ref="N182:BA182" si="97">IF(N57&gt;=N58,"OK","BŁĄD")</f>
        <v>OK</v>
      </c>
      <c r="O182" s="43" t="str">
        <f t="shared" si="97"/>
        <v>OK</v>
      </c>
      <c r="P182" s="43" t="str">
        <f t="shared" si="97"/>
        <v>OK</v>
      </c>
      <c r="Q182" s="43" t="str">
        <f t="shared" si="97"/>
        <v>OK</v>
      </c>
      <c r="R182" s="43" t="str">
        <f t="shared" si="97"/>
        <v>OK</v>
      </c>
      <c r="S182" s="43" t="str">
        <f t="shared" si="97"/>
        <v>OK</v>
      </c>
      <c r="T182" s="43" t="str">
        <f t="shared" si="97"/>
        <v>OK</v>
      </c>
      <c r="U182" s="43" t="str">
        <f t="shared" si="97"/>
        <v>OK</v>
      </c>
      <c r="V182" s="43" t="str">
        <f t="shared" si="97"/>
        <v>OK</v>
      </c>
      <c r="W182" s="43" t="str">
        <f t="shared" si="97"/>
        <v>OK</v>
      </c>
      <c r="X182" s="43" t="str">
        <f t="shared" si="97"/>
        <v>OK</v>
      </c>
      <c r="Y182" s="43" t="str">
        <f t="shared" si="97"/>
        <v>OK</v>
      </c>
      <c r="Z182" s="43" t="str">
        <f t="shared" si="97"/>
        <v>OK</v>
      </c>
      <c r="AA182" s="43" t="str">
        <f t="shared" si="97"/>
        <v>OK</v>
      </c>
      <c r="AB182" s="43" t="str">
        <f t="shared" si="97"/>
        <v>OK</v>
      </c>
      <c r="AC182" s="43" t="str">
        <f t="shared" si="97"/>
        <v>OK</v>
      </c>
      <c r="AD182" s="43" t="str">
        <f t="shared" si="97"/>
        <v>OK</v>
      </c>
      <c r="AE182" s="43" t="str">
        <f t="shared" si="97"/>
        <v>OK</v>
      </c>
      <c r="AF182" s="43" t="str">
        <f t="shared" si="97"/>
        <v>OK</v>
      </c>
      <c r="AG182" s="43" t="str">
        <f t="shared" si="97"/>
        <v>OK</v>
      </c>
      <c r="AH182" s="43" t="str">
        <f t="shared" si="97"/>
        <v>OK</v>
      </c>
      <c r="AI182" s="43" t="str">
        <f t="shared" si="97"/>
        <v>OK</v>
      </c>
      <c r="AJ182" s="43" t="str">
        <f t="shared" si="97"/>
        <v>OK</v>
      </c>
      <c r="AK182" s="43" t="str">
        <f t="shared" si="97"/>
        <v>OK</v>
      </c>
      <c r="AL182" s="43" t="str">
        <f t="shared" si="97"/>
        <v>OK</v>
      </c>
      <c r="AM182" s="43" t="str">
        <f t="shared" si="97"/>
        <v>OK</v>
      </c>
      <c r="AN182" s="43" t="str">
        <f t="shared" si="97"/>
        <v>OK</v>
      </c>
      <c r="AO182" s="43" t="str">
        <f t="shared" si="97"/>
        <v>OK</v>
      </c>
      <c r="AP182" s="43" t="str">
        <f t="shared" si="97"/>
        <v>OK</v>
      </c>
      <c r="AQ182" s="43" t="str">
        <f t="shared" si="97"/>
        <v>OK</v>
      </c>
      <c r="AR182" s="43" t="str">
        <f t="shared" si="97"/>
        <v>OK</v>
      </c>
      <c r="AS182" s="43" t="str">
        <f t="shared" si="97"/>
        <v>OK</v>
      </c>
      <c r="AT182" s="43" t="str">
        <f t="shared" si="97"/>
        <v>OK</v>
      </c>
      <c r="AU182" s="43" t="str">
        <f t="shared" si="97"/>
        <v>OK</v>
      </c>
      <c r="AV182" s="43" t="str">
        <f t="shared" si="97"/>
        <v>OK</v>
      </c>
      <c r="AW182" s="43" t="str">
        <f t="shared" si="97"/>
        <v>OK</v>
      </c>
      <c r="AX182" s="43" t="str">
        <f t="shared" si="97"/>
        <v>OK</v>
      </c>
      <c r="AY182" s="43" t="str">
        <f t="shared" si="97"/>
        <v>OK</v>
      </c>
      <c r="AZ182" s="43" t="str">
        <f t="shared" si="97"/>
        <v>OK</v>
      </c>
      <c r="BA182" s="44" t="str">
        <f t="shared" si="97"/>
        <v>OK</v>
      </c>
    </row>
    <row r="183" spans="1:53" s="246" customFormat="1" outlineLevel="1">
      <c r="A183" s="244"/>
      <c r="B183" s="244"/>
      <c r="C183" s="241" t="s">
        <v>114</v>
      </c>
      <c r="D183" s="121" t="s">
        <v>408</v>
      </c>
      <c r="E183" s="245" t="s">
        <v>438</v>
      </c>
      <c r="F183" s="326" t="s">
        <v>27</v>
      </c>
      <c r="G183" s="242" t="s">
        <v>27</v>
      </c>
      <c r="H183" s="242" t="s">
        <v>27</v>
      </c>
      <c r="I183" s="242" t="s">
        <v>27</v>
      </c>
      <c r="J183" s="242" t="s">
        <v>27</v>
      </c>
      <c r="K183" s="242" t="s">
        <v>27</v>
      </c>
      <c r="L183" s="242" t="s">
        <v>27</v>
      </c>
      <c r="M183" s="327" t="s">
        <v>27</v>
      </c>
      <c r="N183" s="334" t="str">
        <f t="shared" ref="N183:BA184" si="98">IF(N78&gt;=N79,"OK","BŁĄD")</f>
        <v>OK</v>
      </c>
      <c r="O183" s="43" t="str">
        <f t="shared" si="98"/>
        <v>OK</v>
      </c>
      <c r="P183" s="43" t="str">
        <f t="shared" si="98"/>
        <v>OK</v>
      </c>
      <c r="Q183" s="43" t="str">
        <f t="shared" si="98"/>
        <v>OK</v>
      </c>
      <c r="R183" s="43" t="str">
        <f t="shared" si="98"/>
        <v>OK</v>
      </c>
      <c r="S183" s="43" t="str">
        <f t="shared" si="98"/>
        <v>OK</v>
      </c>
      <c r="T183" s="43" t="str">
        <f t="shared" si="98"/>
        <v>OK</v>
      </c>
      <c r="U183" s="43" t="str">
        <f t="shared" si="98"/>
        <v>OK</v>
      </c>
      <c r="V183" s="43" t="str">
        <f t="shared" si="98"/>
        <v>OK</v>
      </c>
      <c r="W183" s="43" t="str">
        <f t="shared" si="98"/>
        <v>OK</v>
      </c>
      <c r="X183" s="43" t="str">
        <f t="shared" si="98"/>
        <v>OK</v>
      </c>
      <c r="Y183" s="43" t="str">
        <f t="shared" si="98"/>
        <v>OK</v>
      </c>
      <c r="Z183" s="43" t="str">
        <f t="shared" si="98"/>
        <v>OK</v>
      </c>
      <c r="AA183" s="43" t="str">
        <f t="shared" si="98"/>
        <v>OK</v>
      </c>
      <c r="AB183" s="43" t="str">
        <f t="shared" si="98"/>
        <v>OK</v>
      </c>
      <c r="AC183" s="43" t="str">
        <f t="shared" si="98"/>
        <v>OK</v>
      </c>
      <c r="AD183" s="43" t="str">
        <f t="shared" si="98"/>
        <v>OK</v>
      </c>
      <c r="AE183" s="43" t="str">
        <f t="shared" si="98"/>
        <v>OK</v>
      </c>
      <c r="AF183" s="43" t="str">
        <f t="shared" si="98"/>
        <v>OK</v>
      </c>
      <c r="AG183" s="43" t="str">
        <f t="shared" si="98"/>
        <v>OK</v>
      </c>
      <c r="AH183" s="43" t="str">
        <f t="shared" si="98"/>
        <v>OK</v>
      </c>
      <c r="AI183" s="43" t="str">
        <f t="shared" si="98"/>
        <v>OK</v>
      </c>
      <c r="AJ183" s="43" t="str">
        <f t="shared" si="98"/>
        <v>OK</v>
      </c>
      <c r="AK183" s="43" t="str">
        <f t="shared" si="98"/>
        <v>OK</v>
      </c>
      <c r="AL183" s="43" t="str">
        <f t="shared" si="98"/>
        <v>OK</v>
      </c>
      <c r="AM183" s="43" t="str">
        <f t="shared" si="98"/>
        <v>OK</v>
      </c>
      <c r="AN183" s="43" t="str">
        <f t="shared" si="98"/>
        <v>OK</v>
      </c>
      <c r="AO183" s="43" t="str">
        <f t="shared" si="98"/>
        <v>OK</v>
      </c>
      <c r="AP183" s="43" t="str">
        <f t="shared" si="98"/>
        <v>OK</v>
      </c>
      <c r="AQ183" s="43" t="str">
        <f t="shared" si="98"/>
        <v>OK</v>
      </c>
      <c r="AR183" s="43" t="str">
        <f t="shared" si="98"/>
        <v>OK</v>
      </c>
      <c r="AS183" s="43" t="str">
        <f t="shared" si="98"/>
        <v>OK</v>
      </c>
      <c r="AT183" s="43" t="str">
        <f t="shared" si="98"/>
        <v>OK</v>
      </c>
      <c r="AU183" s="43" t="str">
        <f t="shared" si="98"/>
        <v>OK</v>
      </c>
      <c r="AV183" s="43" t="str">
        <f t="shared" si="98"/>
        <v>OK</v>
      </c>
      <c r="AW183" s="43" t="str">
        <f t="shared" si="98"/>
        <v>OK</v>
      </c>
      <c r="AX183" s="43" t="str">
        <f t="shared" si="98"/>
        <v>OK</v>
      </c>
      <c r="AY183" s="43" t="str">
        <f t="shared" si="98"/>
        <v>OK</v>
      </c>
      <c r="AZ183" s="43" t="str">
        <f t="shared" si="98"/>
        <v>OK</v>
      </c>
      <c r="BA183" s="44" t="str">
        <f t="shared" si="98"/>
        <v>OK</v>
      </c>
    </row>
    <row r="184" spans="1:53" s="246" customFormat="1" outlineLevel="1">
      <c r="A184" s="244"/>
      <c r="B184" s="244"/>
      <c r="C184" s="241" t="s">
        <v>113</v>
      </c>
      <c r="D184" s="121" t="s">
        <v>409</v>
      </c>
      <c r="E184" s="245" t="s">
        <v>439</v>
      </c>
      <c r="F184" s="326" t="s">
        <v>27</v>
      </c>
      <c r="G184" s="242" t="s">
        <v>27</v>
      </c>
      <c r="H184" s="242" t="s">
        <v>27</v>
      </c>
      <c r="I184" s="242" t="s">
        <v>27</v>
      </c>
      <c r="J184" s="242" t="s">
        <v>27</v>
      </c>
      <c r="K184" s="242" t="s">
        <v>27</v>
      </c>
      <c r="L184" s="242" t="s">
        <v>27</v>
      </c>
      <c r="M184" s="327" t="s">
        <v>27</v>
      </c>
      <c r="N184" s="334" t="str">
        <f t="shared" si="98"/>
        <v>OK</v>
      </c>
      <c r="O184" s="43" t="str">
        <f t="shared" si="98"/>
        <v>OK</v>
      </c>
      <c r="P184" s="43" t="str">
        <f t="shared" si="98"/>
        <v>OK</v>
      </c>
      <c r="Q184" s="43" t="str">
        <f t="shared" si="98"/>
        <v>OK</v>
      </c>
      <c r="R184" s="43" t="str">
        <f t="shared" si="98"/>
        <v>OK</v>
      </c>
      <c r="S184" s="43" t="str">
        <f t="shared" si="98"/>
        <v>OK</v>
      </c>
      <c r="T184" s="43" t="str">
        <f t="shared" si="98"/>
        <v>OK</v>
      </c>
      <c r="U184" s="43" t="str">
        <f t="shared" si="98"/>
        <v>OK</v>
      </c>
      <c r="V184" s="43" t="str">
        <f t="shared" si="98"/>
        <v>OK</v>
      </c>
      <c r="W184" s="43" t="str">
        <f t="shared" si="98"/>
        <v>OK</v>
      </c>
      <c r="X184" s="43" t="str">
        <f t="shared" si="98"/>
        <v>OK</v>
      </c>
      <c r="Y184" s="43" t="str">
        <f t="shared" si="98"/>
        <v>OK</v>
      </c>
      <c r="Z184" s="43" t="str">
        <f t="shared" si="98"/>
        <v>OK</v>
      </c>
      <c r="AA184" s="43" t="str">
        <f t="shared" si="98"/>
        <v>OK</v>
      </c>
      <c r="AB184" s="43" t="str">
        <f t="shared" si="98"/>
        <v>OK</v>
      </c>
      <c r="AC184" s="43" t="str">
        <f t="shared" si="98"/>
        <v>OK</v>
      </c>
      <c r="AD184" s="43" t="str">
        <f t="shared" si="98"/>
        <v>OK</v>
      </c>
      <c r="AE184" s="43" t="str">
        <f t="shared" si="98"/>
        <v>OK</v>
      </c>
      <c r="AF184" s="43" t="str">
        <f t="shared" si="98"/>
        <v>OK</v>
      </c>
      <c r="AG184" s="43" t="str">
        <f t="shared" si="98"/>
        <v>OK</v>
      </c>
      <c r="AH184" s="43" t="str">
        <f t="shared" si="98"/>
        <v>OK</v>
      </c>
      <c r="AI184" s="43" t="str">
        <f t="shared" si="98"/>
        <v>OK</v>
      </c>
      <c r="AJ184" s="43" t="str">
        <f t="shared" si="98"/>
        <v>OK</v>
      </c>
      <c r="AK184" s="43" t="str">
        <f t="shared" si="98"/>
        <v>OK</v>
      </c>
      <c r="AL184" s="43" t="str">
        <f t="shared" si="98"/>
        <v>OK</v>
      </c>
      <c r="AM184" s="43" t="str">
        <f t="shared" si="98"/>
        <v>OK</v>
      </c>
      <c r="AN184" s="43" t="str">
        <f t="shared" si="98"/>
        <v>OK</v>
      </c>
      <c r="AO184" s="43" t="str">
        <f t="shared" si="98"/>
        <v>OK</v>
      </c>
      <c r="AP184" s="43" t="str">
        <f t="shared" si="98"/>
        <v>OK</v>
      </c>
      <c r="AQ184" s="43" t="str">
        <f t="shared" si="98"/>
        <v>OK</v>
      </c>
      <c r="AR184" s="43" t="str">
        <f t="shared" si="98"/>
        <v>OK</v>
      </c>
      <c r="AS184" s="43" t="str">
        <f t="shared" si="98"/>
        <v>OK</v>
      </c>
      <c r="AT184" s="43" t="str">
        <f t="shared" si="98"/>
        <v>OK</v>
      </c>
      <c r="AU184" s="43" t="str">
        <f t="shared" si="98"/>
        <v>OK</v>
      </c>
      <c r="AV184" s="43" t="str">
        <f t="shared" si="98"/>
        <v>OK</v>
      </c>
      <c r="AW184" s="43" t="str">
        <f t="shared" si="98"/>
        <v>OK</v>
      </c>
      <c r="AX184" s="43" t="str">
        <f t="shared" si="98"/>
        <v>OK</v>
      </c>
      <c r="AY184" s="43" t="str">
        <f t="shared" si="98"/>
        <v>OK</v>
      </c>
      <c r="AZ184" s="43" t="str">
        <f t="shared" si="98"/>
        <v>OK</v>
      </c>
      <c r="BA184" s="44" t="str">
        <f t="shared" si="98"/>
        <v>OK</v>
      </c>
    </row>
    <row r="185" spans="1:53" s="246" customFormat="1" outlineLevel="1">
      <c r="A185" s="244"/>
      <c r="B185" s="244"/>
      <c r="C185" s="241" t="s">
        <v>116</v>
      </c>
      <c r="D185" s="121" t="s">
        <v>410</v>
      </c>
      <c r="E185" s="245" t="s">
        <v>440</v>
      </c>
      <c r="F185" s="326" t="s">
        <v>27</v>
      </c>
      <c r="G185" s="242" t="s">
        <v>27</v>
      </c>
      <c r="H185" s="242" t="s">
        <v>27</v>
      </c>
      <c r="I185" s="242" t="s">
        <v>27</v>
      </c>
      <c r="J185" s="242" t="s">
        <v>27</v>
      </c>
      <c r="K185" s="242" t="s">
        <v>27</v>
      </c>
      <c r="L185" s="242" t="s">
        <v>27</v>
      </c>
      <c r="M185" s="327" t="s">
        <v>27</v>
      </c>
      <c r="N185" s="334" t="str">
        <f t="shared" ref="N185:BA186" si="99">IF(N81&gt;=N82,"OK","BŁĄD")</f>
        <v>OK</v>
      </c>
      <c r="O185" s="43" t="str">
        <f t="shared" si="99"/>
        <v>OK</v>
      </c>
      <c r="P185" s="43" t="str">
        <f t="shared" si="99"/>
        <v>OK</v>
      </c>
      <c r="Q185" s="43" t="str">
        <f t="shared" si="99"/>
        <v>OK</v>
      </c>
      <c r="R185" s="43" t="str">
        <f t="shared" si="99"/>
        <v>OK</v>
      </c>
      <c r="S185" s="43" t="str">
        <f t="shared" si="99"/>
        <v>OK</v>
      </c>
      <c r="T185" s="43" t="str">
        <f t="shared" si="99"/>
        <v>OK</v>
      </c>
      <c r="U185" s="43" t="str">
        <f t="shared" si="99"/>
        <v>OK</v>
      </c>
      <c r="V185" s="43" t="str">
        <f t="shared" si="99"/>
        <v>OK</v>
      </c>
      <c r="W185" s="43" t="str">
        <f t="shared" si="99"/>
        <v>OK</v>
      </c>
      <c r="X185" s="43" t="str">
        <f t="shared" si="99"/>
        <v>OK</v>
      </c>
      <c r="Y185" s="43" t="str">
        <f t="shared" si="99"/>
        <v>OK</v>
      </c>
      <c r="Z185" s="43" t="str">
        <f t="shared" si="99"/>
        <v>OK</v>
      </c>
      <c r="AA185" s="43" t="str">
        <f t="shared" si="99"/>
        <v>OK</v>
      </c>
      <c r="AB185" s="43" t="str">
        <f t="shared" si="99"/>
        <v>OK</v>
      </c>
      <c r="AC185" s="43" t="str">
        <f t="shared" si="99"/>
        <v>OK</v>
      </c>
      <c r="AD185" s="43" t="str">
        <f t="shared" si="99"/>
        <v>OK</v>
      </c>
      <c r="AE185" s="43" t="str">
        <f t="shared" si="99"/>
        <v>OK</v>
      </c>
      <c r="AF185" s="43" t="str">
        <f t="shared" si="99"/>
        <v>OK</v>
      </c>
      <c r="AG185" s="43" t="str">
        <f t="shared" si="99"/>
        <v>OK</v>
      </c>
      <c r="AH185" s="43" t="str">
        <f t="shared" si="99"/>
        <v>OK</v>
      </c>
      <c r="AI185" s="43" t="str">
        <f t="shared" si="99"/>
        <v>OK</v>
      </c>
      <c r="AJ185" s="43" t="str">
        <f t="shared" si="99"/>
        <v>OK</v>
      </c>
      <c r="AK185" s="43" t="str">
        <f t="shared" si="99"/>
        <v>OK</v>
      </c>
      <c r="AL185" s="43" t="str">
        <f t="shared" si="99"/>
        <v>OK</v>
      </c>
      <c r="AM185" s="43" t="str">
        <f t="shared" si="99"/>
        <v>OK</v>
      </c>
      <c r="AN185" s="43" t="str">
        <f t="shared" si="99"/>
        <v>OK</v>
      </c>
      <c r="AO185" s="43" t="str">
        <f t="shared" si="99"/>
        <v>OK</v>
      </c>
      <c r="AP185" s="43" t="str">
        <f t="shared" si="99"/>
        <v>OK</v>
      </c>
      <c r="AQ185" s="43" t="str">
        <f t="shared" si="99"/>
        <v>OK</v>
      </c>
      <c r="AR185" s="43" t="str">
        <f t="shared" si="99"/>
        <v>OK</v>
      </c>
      <c r="AS185" s="43" t="str">
        <f t="shared" si="99"/>
        <v>OK</v>
      </c>
      <c r="AT185" s="43" t="str">
        <f t="shared" si="99"/>
        <v>OK</v>
      </c>
      <c r="AU185" s="43" t="str">
        <f t="shared" si="99"/>
        <v>OK</v>
      </c>
      <c r="AV185" s="43" t="str">
        <f t="shared" si="99"/>
        <v>OK</v>
      </c>
      <c r="AW185" s="43" t="str">
        <f t="shared" si="99"/>
        <v>OK</v>
      </c>
      <c r="AX185" s="43" t="str">
        <f t="shared" si="99"/>
        <v>OK</v>
      </c>
      <c r="AY185" s="43" t="str">
        <f t="shared" si="99"/>
        <v>OK</v>
      </c>
      <c r="AZ185" s="43" t="str">
        <f t="shared" si="99"/>
        <v>OK</v>
      </c>
      <c r="BA185" s="44" t="str">
        <f t="shared" si="99"/>
        <v>OK</v>
      </c>
    </row>
    <row r="186" spans="1:53" s="246" customFormat="1" outlineLevel="1">
      <c r="A186" s="244"/>
      <c r="B186" s="244"/>
      <c r="C186" s="241" t="s">
        <v>115</v>
      </c>
      <c r="D186" s="121" t="s">
        <v>411</v>
      </c>
      <c r="E186" s="245" t="s">
        <v>441</v>
      </c>
      <c r="F186" s="326" t="s">
        <v>27</v>
      </c>
      <c r="G186" s="242" t="s">
        <v>27</v>
      </c>
      <c r="H186" s="242" t="s">
        <v>27</v>
      </c>
      <c r="I186" s="242" t="s">
        <v>27</v>
      </c>
      <c r="J186" s="242" t="s">
        <v>27</v>
      </c>
      <c r="K186" s="242" t="s">
        <v>27</v>
      </c>
      <c r="L186" s="242" t="s">
        <v>27</v>
      </c>
      <c r="M186" s="327" t="s">
        <v>27</v>
      </c>
      <c r="N186" s="334" t="str">
        <f t="shared" si="99"/>
        <v>OK</v>
      </c>
      <c r="O186" s="43" t="str">
        <f t="shared" si="99"/>
        <v>OK</v>
      </c>
      <c r="P186" s="43" t="str">
        <f t="shared" si="99"/>
        <v>OK</v>
      </c>
      <c r="Q186" s="43" t="str">
        <f t="shared" si="99"/>
        <v>OK</v>
      </c>
      <c r="R186" s="43" t="str">
        <f t="shared" si="99"/>
        <v>OK</v>
      </c>
      <c r="S186" s="43" t="str">
        <f t="shared" si="99"/>
        <v>OK</v>
      </c>
      <c r="T186" s="43" t="str">
        <f t="shared" si="99"/>
        <v>OK</v>
      </c>
      <c r="U186" s="43" t="str">
        <f t="shared" si="99"/>
        <v>OK</v>
      </c>
      <c r="V186" s="43" t="str">
        <f t="shared" si="99"/>
        <v>OK</v>
      </c>
      <c r="W186" s="43" t="str">
        <f t="shared" si="99"/>
        <v>OK</v>
      </c>
      <c r="X186" s="43" t="str">
        <f t="shared" si="99"/>
        <v>OK</v>
      </c>
      <c r="Y186" s="43" t="str">
        <f t="shared" si="99"/>
        <v>OK</v>
      </c>
      <c r="Z186" s="43" t="str">
        <f t="shared" si="99"/>
        <v>OK</v>
      </c>
      <c r="AA186" s="43" t="str">
        <f t="shared" si="99"/>
        <v>OK</v>
      </c>
      <c r="AB186" s="43" t="str">
        <f t="shared" si="99"/>
        <v>OK</v>
      </c>
      <c r="AC186" s="43" t="str">
        <f t="shared" si="99"/>
        <v>OK</v>
      </c>
      <c r="AD186" s="43" t="str">
        <f t="shared" si="99"/>
        <v>OK</v>
      </c>
      <c r="AE186" s="43" t="str">
        <f t="shared" si="99"/>
        <v>OK</v>
      </c>
      <c r="AF186" s="43" t="str">
        <f t="shared" si="99"/>
        <v>OK</v>
      </c>
      <c r="AG186" s="43" t="str">
        <f t="shared" si="99"/>
        <v>OK</v>
      </c>
      <c r="AH186" s="43" t="str">
        <f t="shared" si="99"/>
        <v>OK</v>
      </c>
      <c r="AI186" s="43" t="str">
        <f t="shared" si="99"/>
        <v>OK</v>
      </c>
      <c r="AJ186" s="43" t="str">
        <f t="shared" si="99"/>
        <v>OK</v>
      </c>
      <c r="AK186" s="43" t="str">
        <f t="shared" si="99"/>
        <v>OK</v>
      </c>
      <c r="AL186" s="43" t="str">
        <f t="shared" si="99"/>
        <v>OK</v>
      </c>
      <c r="AM186" s="43" t="str">
        <f t="shared" si="99"/>
        <v>OK</v>
      </c>
      <c r="AN186" s="43" t="str">
        <f t="shared" si="99"/>
        <v>OK</v>
      </c>
      <c r="AO186" s="43" t="str">
        <f t="shared" si="99"/>
        <v>OK</v>
      </c>
      <c r="AP186" s="43" t="str">
        <f t="shared" si="99"/>
        <v>OK</v>
      </c>
      <c r="AQ186" s="43" t="str">
        <f t="shared" si="99"/>
        <v>OK</v>
      </c>
      <c r="AR186" s="43" t="str">
        <f t="shared" si="99"/>
        <v>OK</v>
      </c>
      <c r="AS186" s="43" t="str">
        <f t="shared" si="99"/>
        <v>OK</v>
      </c>
      <c r="AT186" s="43" t="str">
        <f t="shared" si="99"/>
        <v>OK</v>
      </c>
      <c r="AU186" s="43" t="str">
        <f t="shared" si="99"/>
        <v>OK</v>
      </c>
      <c r="AV186" s="43" t="str">
        <f t="shared" si="99"/>
        <v>OK</v>
      </c>
      <c r="AW186" s="43" t="str">
        <f t="shared" si="99"/>
        <v>OK</v>
      </c>
      <c r="AX186" s="43" t="str">
        <f t="shared" si="99"/>
        <v>OK</v>
      </c>
      <c r="AY186" s="43" t="str">
        <f t="shared" si="99"/>
        <v>OK</v>
      </c>
      <c r="AZ186" s="43" t="str">
        <f t="shared" si="99"/>
        <v>OK</v>
      </c>
      <c r="BA186" s="44" t="str">
        <f t="shared" si="99"/>
        <v>OK</v>
      </c>
    </row>
    <row r="187" spans="1:53" s="246" customFormat="1" outlineLevel="1">
      <c r="A187" s="244"/>
      <c r="B187" s="244"/>
      <c r="C187" s="241" t="s">
        <v>117</v>
      </c>
      <c r="D187" s="121" t="s">
        <v>412</v>
      </c>
      <c r="E187" s="245" t="s">
        <v>442</v>
      </c>
      <c r="F187" s="326" t="s">
        <v>27</v>
      </c>
      <c r="G187" s="242" t="s">
        <v>27</v>
      </c>
      <c r="H187" s="242" t="s">
        <v>27</v>
      </c>
      <c r="I187" s="242" t="s">
        <v>27</v>
      </c>
      <c r="J187" s="242" t="s">
        <v>27</v>
      </c>
      <c r="K187" s="242" t="s">
        <v>27</v>
      </c>
      <c r="L187" s="242" t="s">
        <v>27</v>
      </c>
      <c r="M187" s="327" t="s">
        <v>27</v>
      </c>
      <c r="N187" s="334" t="str">
        <f t="shared" ref="N187:BA188" si="100">IF(N84&gt;=N85,"OK","BŁĄD")</f>
        <v>OK</v>
      </c>
      <c r="O187" s="43" t="str">
        <f t="shared" si="100"/>
        <v>OK</v>
      </c>
      <c r="P187" s="43" t="str">
        <f t="shared" si="100"/>
        <v>OK</v>
      </c>
      <c r="Q187" s="43" t="str">
        <f t="shared" si="100"/>
        <v>OK</v>
      </c>
      <c r="R187" s="43" t="str">
        <f t="shared" si="100"/>
        <v>OK</v>
      </c>
      <c r="S187" s="43" t="str">
        <f t="shared" si="100"/>
        <v>OK</v>
      </c>
      <c r="T187" s="43" t="str">
        <f t="shared" si="100"/>
        <v>OK</v>
      </c>
      <c r="U187" s="43" t="str">
        <f t="shared" si="100"/>
        <v>OK</v>
      </c>
      <c r="V187" s="43" t="str">
        <f t="shared" si="100"/>
        <v>OK</v>
      </c>
      <c r="W187" s="43" t="str">
        <f t="shared" si="100"/>
        <v>OK</v>
      </c>
      <c r="X187" s="43" t="str">
        <f t="shared" si="100"/>
        <v>OK</v>
      </c>
      <c r="Y187" s="43" t="str">
        <f t="shared" si="100"/>
        <v>OK</v>
      </c>
      <c r="Z187" s="43" t="str">
        <f t="shared" si="100"/>
        <v>OK</v>
      </c>
      <c r="AA187" s="43" t="str">
        <f t="shared" si="100"/>
        <v>OK</v>
      </c>
      <c r="AB187" s="43" t="str">
        <f t="shared" si="100"/>
        <v>OK</v>
      </c>
      <c r="AC187" s="43" t="str">
        <f t="shared" si="100"/>
        <v>OK</v>
      </c>
      <c r="AD187" s="43" t="str">
        <f t="shared" si="100"/>
        <v>OK</v>
      </c>
      <c r="AE187" s="43" t="str">
        <f t="shared" si="100"/>
        <v>OK</v>
      </c>
      <c r="AF187" s="43" t="str">
        <f t="shared" si="100"/>
        <v>OK</v>
      </c>
      <c r="AG187" s="43" t="str">
        <f t="shared" si="100"/>
        <v>OK</v>
      </c>
      <c r="AH187" s="43" t="str">
        <f t="shared" si="100"/>
        <v>OK</v>
      </c>
      <c r="AI187" s="43" t="str">
        <f t="shared" si="100"/>
        <v>OK</v>
      </c>
      <c r="AJ187" s="43" t="str">
        <f t="shared" si="100"/>
        <v>OK</v>
      </c>
      <c r="AK187" s="43" t="str">
        <f t="shared" si="100"/>
        <v>OK</v>
      </c>
      <c r="AL187" s="43" t="str">
        <f t="shared" si="100"/>
        <v>OK</v>
      </c>
      <c r="AM187" s="43" t="str">
        <f t="shared" si="100"/>
        <v>OK</v>
      </c>
      <c r="AN187" s="43" t="str">
        <f t="shared" si="100"/>
        <v>OK</v>
      </c>
      <c r="AO187" s="43" t="str">
        <f t="shared" si="100"/>
        <v>OK</v>
      </c>
      <c r="AP187" s="43" t="str">
        <f t="shared" si="100"/>
        <v>OK</v>
      </c>
      <c r="AQ187" s="43" t="str">
        <f t="shared" si="100"/>
        <v>OK</v>
      </c>
      <c r="AR187" s="43" t="str">
        <f t="shared" si="100"/>
        <v>OK</v>
      </c>
      <c r="AS187" s="43" t="str">
        <f t="shared" si="100"/>
        <v>OK</v>
      </c>
      <c r="AT187" s="43" t="str">
        <f t="shared" si="100"/>
        <v>OK</v>
      </c>
      <c r="AU187" s="43" t="str">
        <f t="shared" si="100"/>
        <v>OK</v>
      </c>
      <c r="AV187" s="43" t="str">
        <f t="shared" si="100"/>
        <v>OK</v>
      </c>
      <c r="AW187" s="43" t="str">
        <f t="shared" si="100"/>
        <v>OK</v>
      </c>
      <c r="AX187" s="43" t="str">
        <f t="shared" si="100"/>
        <v>OK</v>
      </c>
      <c r="AY187" s="43" t="str">
        <f t="shared" si="100"/>
        <v>OK</v>
      </c>
      <c r="AZ187" s="43" t="str">
        <f t="shared" si="100"/>
        <v>OK</v>
      </c>
      <c r="BA187" s="44" t="str">
        <f t="shared" si="100"/>
        <v>OK</v>
      </c>
    </row>
    <row r="188" spans="1:53" s="246" customFormat="1" outlineLevel="1">
      <c r="A188" s="244"/>
      <c r="B188" s="244"/>
      <c r="C188" s="241" t="s">
        <v>118</v>
      </c>
      <c r="D188" s="121" t="s">
        <v>413</v>
      </c>
      <c r="E188" s="245" t="s">
        <v>443</v>
      </c>
      <c r="F188" s="326" t="s">
        <v>27</v>
      </c>
      <c r="G188" s="242" t="s">
        <v>27</v>
      </c>
      <c r="H188" s="242" t="s">
        <v>27</v>
      </c>
      <c r="I188" s="242" t="s">
        <v>27</v>
      </c>
      <c r="J188" s="242" t="s">
        <v>27</v>
      </c>
      <c r="K188" s="242" t="s">
        <v>27</v>
      </c>
      <c r="L188" s="242" t="s">
        <v>27</v>
      </c>
      <c r="M188" s="327" t="s">
        <v>27</v>
      </c>
      <c r="N188" s="334" t="str">
        <f t="shared" si="100"/>
        <v>OK</v>
      </c>
      <c r="O188" s="43" t="str">
        <f t="shared" si="100"/>
        <v>OK</v>
      </c>
      <c r="P188" s="43" t="str">
        <f t="shared" si="100"/>
        <v>OK</v>
      </c>
      <c r="Q188" s="43" t="str">
        <f t="shared" si="100"/>
        <v>OK</v>
      </c>
      <c r="R188" s="43" t="str">
        <f t="shared" si="100"/>
        <v>OK</v>
      </c>
      <c r="S188" s="43" t="str">
        <f t="shared" si="100"/>
        <v>OK</v>
      </c>
      <c r="T188" s="43" t="str">
        <f t="shared" si="100"/>
        <v>OK</v>
      </c>
      <c r="U188" s="43" t="str">
        <f t="shared" si="100"/>
        <v>OK</v>
      </c>
      <c r="V188" s="43" t="str">
        <f t="shared" si="100"/>
        <v>OK</v>
      </c>
      <c r="W188" s="43" t="str">
        <f t="shared" si="100"/>
        <v>OK</v>
      </c>
      <c r="X188" s="43" t="str">
        <f t="shared" si="100"/>
        <v>OK</v>
      </c>
      <c r="Y188" s="43" t="str">
        <f t="shared" si="100"/>
        <v>OK</v>
      </c>
      <c r="Z188" s="43" t="str">
        <f t="shared" si="100"/>
        <v>OK</v>
      </c>
      <c r="AA188" s="43" t="str">
        <f t="shared" si="100"/>
        <v>OK</v>
      </c>
      <c r="AB188" s="43" t="str">
        <f t="shared" si="100"/>
        <v>OK</v>
      </c>
      <c r="AC188" s="43" t="str">
        <f t="shared" si="100"/>
        <v>OK</v>
      </c>
      <c r="AD188" s="43" t="str">
        <f t="shared" si="100"/>
        <v>OK</v>
      </c>
      <c r="AE188" s="43" t="str">
        <f t="shared" si="100"/>
        <v>OK</v>
      </c>
      <c r="AF188" s="43" t="str">
        <f t="shared" si="100"/>
        <v>OK</v>
      </c>
      <c r="AG188" s="43" t="str">
        <f t="shared" si="100"/>
        <v>OK</v>
      </c>
      <c r="AH188" s="43" t="str">
        <f t="shared" si="100"/>
        <v>OK</v>
      </c>
      <c r="AI188" s="43" t="str">
        <f t="shared" si="100"/>
        <v>OK</v>
      </c>
      <c r="AJ188" s="43" t="str">
        <f t="shared" si="100"/>
        <v>OK</v>
      </c>
      <c r="AK188" s="43" t="str">
        <f t="shared" si="100"/>
        <v>OK</v>
      </c>
      <c r="AL188" s="43" t="str">
        <f t="shared" si="100"/>
        <v>OK</v>
      </c>
      <c r="AM188" s="43" t="str">
        <f t="shared" si="100"/>
        <v>OK</v>
      </c>
      <c r="AN188" s="43" t="str">
        <f t="shared" si="100"/>
        <v>OK</v>
      </c>
      <c r="AO188" s="43" t="str">
        <f t="shared" si="100"/>
        <v>OK</v>
      </c>
      <c r="AP188" s="43" t="str">
        <f t="shared" si="100"/>
        <v>OK</v>
      </c>
      <c r="AQ188" s="43" t="str">
        <f t="shared" si="100"/>
        <v>OK</v>
      </c>
      <c r="AR188" s="43" t="str">
        <f t="shared" si="100"/>
        <v>OK</v>
      </c>
      <c r="AS188" s="43" t="str">
        <f t="shared" si="100"/>
        <v>OK</v>
      </c>
      <c r="AT188" s="43" t="str">
        <f t="shared" si="100"/>
        <v>OK</v>
      </c>
      <c r="AU188" s="43" t="str">
        <f t="shared" si="100"/>
        <v>OK</v>
      </c>
      <c r="AV188" s="43" t="str">
        <f t="shared" si="100"/>
        <v>OK</v>
      </c>
      <c r="AW188" s="43" t="str">
        <f t="shared" si="100"/>
        <v>OK</v>
      </c>
      <c r="AX188" s="43" t="str">
        <f t="shared" si="100"/>
        <v>OK</v>
      </c>
      <c r="AY188" s="43" t="str">
        <f t="shared" si="100"/>
        <v>OK</v>
      </c>
      <c r="AZ188" s="43" t="str">
        <f t="shared" si="100"/>
        <v>OK</v>
      </c>
      <c r="BA188" s="44" t="str">
        <f t="shared" si="100"/>
        <v>OK</v>
      </c>
    </row>
    <row r="189" spans="1:53" s="246" customFormat="1" outlineLevel="1">
      <c r="A189" s="244"/>
      <c r="B189" s="244"/>
      <c r="C189" s="241" t="s">
        <v>119</v>
      </c>
      <c r="D189" s="121" t="s">
        <v>414</v>
      </c>
      <c r="E189" s="245" t="s">
        <v>444</v>
      </c>
      <c r="F189" s="326" t="s">
        <v>27</v>
      </c>
      <c r="G189" s="242" t="s">
        <v>27</v>
      </c>
      <c r="H189" s="242" t="s">
        <v>27</v>
      </c>
      <c r="I189" s="242" t="s">
        <v>27</v>
      </c>
      <c r="J189" s="242" t="s">
        <v>27</v>
      </c>
      <c r="K189" s="242" t="s">
        <v>27</v>
      </c>
      <c r="L189" s="242" t="s">
        <v>27</v>
      </c>
      <c r="M189" s="327" t="s">
        <v>27</v>
      </c>
      <c r="N189" s="334" t="str">
        <f t="shared" ref="N189:BA190" si="101">IF(N87&gt;=N88,"OK","BŁĄD")</f>
        <v>OK</v>
      </c>
      <c r="O189" s="43" t="str">
        <f t="shared" si="101"/>
        <v>OK</v>
      </c>
      <c r="P189" s="43" t="str">
        <f t="shared" si="101"/>
        <v>OK</v>
      </c>
      <c r="Q189" s="43" t="str">
        <f t="shared" si="101"/>
        <v>OK</v>
      </c>
      <c r="R189" s="43" t="str">
        <f t="shared" si="101"/>
        <v>OK</v>
      </c>
      <c r="S189" s="43" t="str">
        <f t="shared" si="101"/>
        <v>OK</v>
      </c>
      <c r="T189" s="43" t="str">
        <f t="shared" si="101"/>
        <v>OK</v>
      </c>
      <c r="U189" s="43" t="str">
        <f t="shared" si="101"/>
        <v>OK</v>
      </c>
      <c r="V189" s="43" t="str">
        <f t="shared" si="101"/>
        <v>OK</v>
      </c>
      <c r="W189" s="43" t="str">
        <f t="shared" si="101"/>
        <v>OK</v>
      </c>
      <c r="X189" s="43" t="str">
        <f t="shared" si="101"/>
        <v>OK</v>
      </c>
      <c r="Y189" s="43" t="str">
        <f t="shared" si="101"/>
        <v>OK</v>
      </c>
      <c r="Z189" s="43" t="str">
        <f t="shared" si="101"/>
        <v>OK</v>
      </c>
      <c r="AA189" s="43" t="str">
        <f t="shared" si="101"/>
        <v>OK</v>
      </c>
      <c r="AB189" s="43" t="str">
        <f t="shared" si="101"/>
        <v>OK</v>
      </c>
      <c r="AC189" s="43" t="str">
        <f t="shared" si="101"/>
        <v>OK</v>
      </c>
      <c r="AD189" s="43" t="str">
        <f t="shared" si="101"/>
        <v>OK</v>
      </c>
      <c r="AE189" s="43" t="str">
        <f t="shared" si="101"/>
        <v>OK</v>
      </c>
      <c r="AF189" s="43" t="str">
        <f t="shared" si="101"/>
        <v>OK</v>
      </c>
      <c r="AG189" s="43" t="str">
        <f t="shared" si="101"/>
        <v>OK</v>
      </c>
      <c r="AH189" s="43" t="str">
        <f t="shared" si="101"/>
        <v>OK</v>
      </c>
      <c r="AI189" s="43" t="str">
        <f t="shared" si="101"/>
        <v>OK</v>
      </c>
      <c r="AJ189" s="43" t="str">
        <f t="shared" si="101"/>
        <v>OK</v>
      </c>
      <c r="AK189" s="43" t="str">
        <f t="shared" si="101"/>
        <v>OK</v>
      </c>
      <c r="AL189" s="43" t="str">
        <f t="shared" si="101"/>
        <v>OK</v>
      </c>
      <c r="AM189" s="43" t="str">
        <f t="shared" si="101"/>
        <v>OK</v>
      </c>
      <c r="AN189" s="43" t="str">
        <f t="shared" si="101"/>
        <v>OK</v>
      </c>
      <c r="AO189" s="43" t="str">
        <f t="shared" si="101"/>
        <v>OK</v>
      </c>
      <c r="AP189" s="43" t="str">
        <f t="shared" si="101"/>
        <v>OK</v>
      </c>
      <c r="AQ189" s="43" t="str">
        <f t="shared" si="101"/>
        <v>OK</v>
      </c>
      <c r="AR189" s="43" t="str">
        <f t="shared" si="101"/>
        <v>OK</v>
      </c>
      <c r="AS189" s="43" t="str">
        <f t="shared" si="101"/>
        <v>OK</v>
      </c>
      <c r="AT189" s="43" t="str">
        <f t="shared" si="101"/>
        <v>OK</v>
      </c>
      <c r="AU189" s="43" t="str">
        <f t="shared" si="101"/>
        <v>OK</v>
      </c>
      <c r="AV189" s="43" t="str">
        <f t="shared" si="101"/>
        <v>OK</v>
      </c>
      <c r="AW189" s="43" t="str">
        <f t="shared" si="101"/>
        <v>OK</v>
      </c>
      <c r="AX189" s="43" t="str">
        <f t="shared" si="101"/>
        <v>OK</v>
      </c>
      <c r="AY189" s="43" t="str">
        <f t="shared" si="101"/>
        <v>OK</v>
      </c>
      <c r="AZ189" s="43" t="str">
        <f t="shared" si="101"/>
        <v>OK</v>
      </c>
      <c r="BA189" s="44" t="str">
        <f t="shared" si="101"/>
        <v>OK</v>
      </c>
    </row>
    <row r="190" spans="1:53" s="246" customFormat="1" outlineLevel="1">
      <c r="A190" s="244"/>
      <c r="B190" s="244"/>
      <c r="C190" s="241" t="s">
        <v>120</v>
      </c>
      <c r="D190" s="121" t="s">
        <v>415</v>
      </c>
      <c r="E190" s="245" t="s">
        <v>445</v>
      </c>
      <c r="F190" s="326" t="s">
        <v>27</v>
      </c>
      <c r="G190" s="242" t="s">
        <v>27</v>
      </c>
      <c r="H190" s="242" t="s">
        <v>27</v>
      </c>
      <c r="I190" s="242" t="s">
        <v>27</v>
      </c>
      <c r="J190" s="242" t="s">
        <v>27</v>
      </c>
      <c r="K190" s="242" t="s">
        <v>27</v>
      </c>
      <c r="L190" s="242" t="s">
        <v>27</v>
      </c>
      <c r="M190" s="327" t="s">
        <v>27</v>
      </c>
      <c r="N190" s="334" t="str">
        <f t="shared" si="101"/>
        <v>OK</v>
      </c>
      <c r="O190" s="43" t="str">
        <f t="shared" si="101"/>
        <v>OK</v>
      </c>
      <c r="P190" s="43" t="str">
        <f t="shared" si="101"/>
        <v>OK</v>
      </c>
      <c r="Q190" s="43" t="str">
        <f t="shared" si="101"/>
        <v>OK</v>
      </c>
      <c r="R190" s="43" t="str">
        <f t="shared" si="101"/>
        <v>OK</v>
      </c>
      <c r="S190" s="43" t="str">
        <f t="shared" si="101"/>
        <v>OK</v>
      </c>
      <c r="T190" s="43" t="str">
        <f t="shared" si="101"/>
        <v>OK</v>
      </c>
      <c r="U190" s="43" t="str">
        <f t="shared" si="101"/>
        <v>OK</v>
      </c>
      <c r="V190" s="43" t="str">
        <f t="shared" si="101"/>
        <v>OK</v>
      </c>
      <c r="W190" s="43" t="str">
        <f t="shared" si="101"/>
        <v>OK</v>
      </c>
      <c r="X190" s="43" t="str">
        <f t="shared" si="101"/>
        <v>OK</v>
      </c>
      <c r="Y190" s="43" t="str">
        <f t="shared" si="101"/>
        <v>OK</v>
      </c>
      <c r="Z190" s="43" t="str">
        <f t="shared" si="101"/>
        <v>OK</v>
      </c>
      <c r="AA190" s="43" t="str">
        <f t="shared" si="101"/>
        <v>OK</v>
      </c>
      <c r="AB190" s="43" t="str">
        <f t="shared" si="101"/>
        <v>OK</v>
      </c>
      <c r="AC190" s="43" t="str">
        <f t="shared" si="101"/>
        <v>OK</v>
      </c>
      <c r="AD190" s="43" t="str">
        <f t="shared" si="101"/>
        <v>OK</v>
      </c>
      <c r="AE190" s="43" t="str">
        <f t="shared" si="101"/>
        <v>OK</v>
      </c>
      <c r="AF190" s="43" t="str">
        <f t="shared" si="101"/>
        <v>OK</v>
      </c>
      <c r="AG190" s="43" t="str">
        <f t="shared" si="101"/>
        <v>OK</v>
      </c>
      <c r="AH190" s="43" t="str">
        <f t="shared" si="101"/>
        <v>OK</v>
      </c>
      <c r="AI190" s="43" t="str">
        <f t="shared" si="101"/>
        <v>OK</v>
      </c>
      <c r="AJ190" s="43" t="str">
        <f t="shared" si="101"/>
        <v>OK</v>
      </c>
      <c r="AK190" s="43" t="str">
        <f t="shared" si="101"/>
        <v>OK</v>
      </c>
      <c r="AL190" s="43" t="str">
        <f t="shared" si="101"/>
        <v>OK</v>
      </c>
      <c r="AM190" s="43" t="str">
        <f t="shared" si="101"/>
        <v>OK</v>
      </c>
      <c r="AN190" s="43" t="str">
        <f t="shared" si="101"/>
        <v>OK</v>
      </c>
      <c r="AO190" s="43" t="str">
        <f t="shared" si="101"/>
        <v>OK</v>
      </c>
      <c r="AP190" s="43" t="str">
        <f t="shared" si="101"/>
        <v>OK</v>
      </c>
      <c r="AQ190" s="43" t="str">
        <f t="shared" si="101"/>
        <v>OK</v>
      </c>
      <c r="AR190" s="43" t="str">
        <f t="shared" si="101"/>
        <v>OK</v>
      </c>
      <c r="AS190" s="43" t="str">
        <f t="shared" si="101"/>
        <v>OK</v>
      </c>
      <c r="AT190" s="43" t="str">
        <f t="shared" si="101"/>
        <v>OK</v>
      </c>
      <c r="AU190" s="43" t="str">
        <f t="shared" si="101"/>
        <v>OK</v>
      </c>
      <c r="AV190" s="43" t="str">
        <f t="shared" si="101"/>
        <v>OK</v>
      </c>
      <c r="AW190" s="43" t="str">
        <f t="shared" si="101"/>
        <v>OK</v>
      </c>
      <c r="AX190" s="43" t="str">
        <f t="shared" si="101"/>
        <v>OK</v>
      </c>
      <c r="AY190" s="43" t="str">
        <f t="shared" si="101"/>
        <v>OK</v>
      </c>
      <c r="AZ190" s="43" t="str">
        <f t="shared" si="101"/>
        <v>OK</v>
      </c>
      <c r="BA190" s="44" t="str">
        <f t="shared" si="101"/>
        <v>OK</v>
      </c>
    </row>
    <row r="191" spans="1:53" s="246" customFormat="1" outlineLevel="1">
      <c r="A191" s="244"/>
      <c r="B191" s="244"/>
      <c r="C191" s="241" t="s">
        <v>119</v>
      </c>
      <c r="D191" s="121" t="s">
        <v>598</v>
      </c>
      <c r="E191" s="245" t="s">
        <v>599</v>
      </c>
      <c r="F191" s="326" t="s">
        <v>27</v>
      </c>
      <c r="G191" s="242" t="s">
        <v>27</v>
      </c>
      <c r="H191" s="242" t="s">
        <v>27</v>
      </c>
      <c r="I191" s="242" t="s">
        <v>27</v>
      </c>
      <c r="J191" s="242" t="s">
        <v>27</v>
      </c>
      <c r="K191" s="242" t="s">
        <v>27</v>
      </c>
      <c r="L191" s="242" t="s">
        <v>27</v>
      </c>
      <c r="M191" s="327" t="s">
        <v>27</v>
      </c>
      <c r="N191" s="334" t="str">
        <f t="shared" ref="N191:BA191" si="102">IF(ROUND(N91-(N92+N93),2)=0,"OK","BŁĄD")</f>
        <v>OK</v>
      </c>
      <c r="O191" s="43" t="str">
        <f t="shared" si="102"/>
        <v>OK</v>
      </c>
      <c r="P191" s="43" t="str">
        <f t="shared" si="102"/>
        <v>OK</v>
      </c>
      <c r="Q191" s="43" t="str">
        <f t="shared" si="102"/>
        <v>OK</v>
      </c>
      <c r="R191" s="43" t="str">
        <f t="shared" si="102"/>
        <v>OK</v>
      </c>
      <c r="S191" s="43" t="str">
        <f t="shared" si="102"/>
        <v>OK</v>
      </c>
      <c r="T191" s="43" t="str">
        <f t="shared" si="102"/>
        <v>OK</v>
      </c>
      <c r="U191" s="43" t="str">
        <f t="shared" si="102"/>
        <v>OK</v>
      </c>
      <c r="V191" s="43" t="str">
        <f t="shared" si="102"/>
        <v>OK</v>
      </c>
      <c r="W191" s="43" t="str">
        <f t="shared" si="102"/>
        <v>OK</v>
      </c>
      <c r="X191" s="43" t="str">
        <f t="shared" si="102"/>
        <v>OK</v>
      </c>
      <c r="Y191" s="43" t="str">
        <f t="shared" si="102"/>
        <v>OK</v>
      </c>
      <c r="Z191" s="43" t="str">
        <f t="shared" si="102"/>
        <v>OK</v>
      </c>
      <c r="AA191" s="43" t="str">
        <f t="shared" si="102"/>
        <v>OK</v>
      </c>
      <c r="AB191" s="43" t="str">
        <f t="shared" si="102"/>
        <v>OK</v>
      </c>
      <c r="AC191" s="43" t="str">
        <f t="shared" si="102"/>
        <v>OK</v>
      </c>
      <c r="AD191" s="43" t="str">
        <f t="shared" si="102"/>
        <v>OK</v>
      </c>
      <c r="AE191" s="43" t="str">
        <f t="shared" si="102"/>
        <v>OK</v>
      </c>
      <c r="AF191" s="43" t="str">
        <f t="shared" si="102"/>
        <v>OK</v>
      </c>
      <c r="AG191" s="43" t="str">
        <f t="shared" si="102"/>
        <v>OK</v>
      </c>
      <c r="AH191" s="43" t="str">
        <f t="shared" si="102"/>
        <v>OK</v>
      </c>
      <c r="AI191" s="43" t="str">
        <f t="shared" si="102"/>
        <v>OK</v>
      </c>
      <c r="AJ191" s="43" t="str">
        <f t="shared" si="102"/>
        <v>OK</v>
      </c>
      <c r="AK191" s="43" t="str">
        <f t="shared" si="102"/>
        <v>OK</v>
      </c>
      <c r="AL191" s="43" t="str">
        <f t="shared" si="102"/>
        <v>OK</v>
      </c>
      <c r="AM191" s="43" t="str">
        <f t="shared" si="102"/>
        <v>OK</v>
      </c>
      <c r="AN191" s="43" t="str">
        <f t="shared" si="102"/>
        <v>OK</v>
      </c>
      <c r="AO191" s="43" t="str">
        <f t="shared" si="102"/>
        <v>OK</v>
      </c>
      <c r="AP191" s="43" t="str">
        <f t="shared" si="102"/>
        <v>OK</v>
      </c>
      <c r="AQ191" s="43" t="str">
        <f t="shared" si="102"/>
        <v>OK</v>
      </c>
      <c r="AR191" s="43" t="str">
        <f t="shared" si="102"/>
        <v>OK</v>
      </c>
      <c r="AS191" s="43" t="str">
        <f t="shared" si="102"/>
        <v>OK</v>
      </c>
      <c r="AT191" s="43" t="str">
        <f t="shared" si="102"/>
        <v>OK</v>
      </c>
      <c r="AU191" s="43" t="str">
        <f t="shared" si="102"/>
        <v>OK</v>
      </c>
      <c r="AV191" s="43" t="str">
        <f t="shared" si="102"/>
        <v>OK</v>
      </c>
      <c r="AW191" s="43" t="str">
        <f t="shared" si="102"/>
        <v>OK</v>
      </c>
      <c r="AX191" s="43" t="str">
        <f t="shared" si="102"/>
        <v>OK</v>
      </c>
      <c r="AY191" s="43" t="str">
        <f t="shared" si="102"/>
        <v>OK</v>
      </c>
      <c r="AZ191" s="43" t="str">
        <f t="shared" si="102"/>
        <v>OK</v>
      </c>
      <c r="BA191" s="44" t="str">
        <f t="shared" si="102"/>
        <v>OK</v>
      </c>
    </row>
    <row r="192" spans="1:53" s="246" customFormat="1" outlineLevel="1">
      <c r="A192" s="244"/>
      <c r="B192" s="244"/>
      <c r="C192" s="337"/>
      <c r="D192" s="338"/>
      <c r="E192" s="245" t="s">
        <v>600</v>
      </c>
      <c r="F192" s="326" t="s">
        <v>27</v>
      </c>
      <c r="G192" s="242" t="s">
        <v>27</v>
      </c>
      <c r="H192" s="242" t="s">
        <v>27</v>
      </c>
      <c r="I192" s="242" t="s">
        <v>27</v>
      </c>
      <c r="J192" s="242" t="s">
        <v>27</v>
      </c>
      <c r="K192" s="242" t="s">
        <v>27</v>
      </c>
      <c r="L192" s="242" t="s">
        <v>27</v>
      </c>
      <c r="M192" s="327" t="s">
        <v>27</v>
      </c>
      <c r="N192" s="334" t="str">
        <f>IF(COUNTIF($N$110:$BA$112,"&lt;&gt;0")&gt;0,"nd",IF(ROUND(N107-(N29+N55),2)=0,"OK","BŁĄD"))</f>
        <v>OK</v>
      </c>
      <c r="O192" s="43" t="str">
        <f t="shared" ref="O192:BA192" si="103">IF(COUNTIF($N$110:$BA$112,"&lt;&gt;0")&gt;0,"nd",IF(ROUND(O107-(O29+O55),2)=0,"OK","BŁĄD"))</f>
        <v>OK</v>
      </c>
      <c r="P192" s="43" t="str">
        <f t="shared" si="103"/>
        <v>OK</v>
      </c>
      <c r="Q192" s="43" t="str">
        <f t="shared" si="103"/>
        <v>OK</v>
      </c>
      <c r="R192" s="43" t="str">
        <f t="shared" si="103"/>
        <v>OK</v>
      </c>
      <c r="S192" s="43" t="str">
        <f t="shared" si="103"/>
        <v>OK</v>
      </c>
      <c r="T192" s="43" t="str">
        <f t="shared" si="103"/>
        <v>OK</v>
      </c>
      <c r="U192" s="43" t="str">
        <f t="shared" si="103"/>
        <v>OK</v>
      </c>
      <c r="V192" s="43" t="str">
        <f t="shared" si="103"/>
        <v>OK</v>
      </c>
      <c r="W192" s="43" t="str">
        <f t="shared" si="103"/>
        <v>OK</v>
      </c>
      <c r="X192" s="43" t="str">
        <f t="shared" si="103"/>
        <v>OK</v>
      </c>
      <c r="Y192" s="43" t="str">
        <f t="shared" si="103"/>
        <v>OK</v>
      </c>
      <c r="Z192" s="43" t="str">
        <f t="shared" si="103"/>
        <v>OK</v>
      </c>
      <c r="AA192" s="43" t="str">
        <f t="shared" si="103"/>
        <v>OK</v>
      </c>
      <c r="AB192" s="43" t="str">
        <f t="shared" si="103"/>
        <v>OK</v>
      </c>
      <c r="AC192" s="43" t="str">
        <f t="shared" si="103"/>
        <v>OK</v>
      </c>
      <c r="AD192" s="43" t="str">
        <f t="shared" si="103"/>
        <v>OK</v>
      </c>
      <c r="AE192" s="43" t="str">
        <f t="shared" si="103"/>
        <v>OK</v>
      </c>
      <c r="AF192" s="43" t="str">
        <f t="shared" si="103"/>
        <v>OK</v>
      </c>
      <c r="AG192" s="43" t="str">
        <f t="shared" si="103"/>
        <v>OK</v>
      </c>
      <c r="AH192" s="43" t="str">
        <f t="shared" si="103"/>
        <v>OK</v>
      </c>
      <c r="AI192" s="43" t="str">
        <f t="shared" si="103"/>
        <v>OK</v>
      </c>
      <c r="AJ192" s="43" t="str">
        <f t="shared" si="103"/>
        <v>OK</v>
      </c>
      <c r="AK192" s="43" t="str">
        <f t="shared" si="103"/>
        <v>OK</v>
      </c>
      <c r="AL192" s="43" t="str">
        <f t="shared" si="103"/>
        <v>OK</v>
      </c>
      <c r="AM192" s="43" t="str">
        <f t="shared" si="103"/>
        <v>OK</v>
      </c>
      <c r="AN192" s="43" t="str">
        <f t="shared" si="103"/>
        <v>OK</v>
      </c>
      <c r="AO192" s="43" t="str">
        <f t="shared" si="103"/>
        <v>OK</v>
      </c>
      <c r="AP192" s="43" t="str">
        <f t="shared" si="103"/>
        <v>OK</v>
      </c>
      <c r="AQ192" s="43" t="str">
        <f t="shared" si="103"/>
        <v>OK</v>
      </c>
      <c r="AR192" s="43" t="str">
        <f t="shared" si="103"/>
        <v>OK</v>
      </c>
      <c r="AS192" s="43" t="str">
        <f t="shared" si="103"/>
        <v>OK</v>
      </c>
      <c r="AT192" s="43" t="str">
        <f t="shared" si="103"/>
        <v>OK</v>
      </c>
      <c r="AU192" s="43" t="str">
        <f t="shared" si="103"/>
        <v>OK</v>
      </c>
      <c r="AV192" s="43" t="str">
        <f t="shared" si="103"/>
        <v>OK</v>
      </c>
      <c r="AW192" s="43" t="str">
        <f t="shared" si="103"/>
        <v>OK</v>
      </c>
      <c r="AX192" s="43" t="str">
        <f t="shared" si="103"/>
        <v>OK</v>
      </c>
      <c r="AY192" s="43" t="str">
        <f t="shared" si="103"/>
        <v>OK</v>
      </c>
      <c r="AZ192" s="43" t="str">
        <f t="shared" si="103"/>
        <v>OK</v>
      </c>
      <c r="BA192" s="44" t="str">
        <f t="shared" si="103"/>
        <v>OK</v>
      </c>
    </row>
    <row r="193" spans="1:53" s="246" customFormat="1" outlineLevel="1">
      <c r="A193" s="244"/>
      <c r="B193" s="244"/>
      <c r="C193" s="48" t="s">
        <v>144</v>
      </c>
      <c r="D193" s="123" t="s">
        <v>420</v>
      </c>
      <c r="E193" s="126" t="s">
        <v>449</v>
      </c>
      <c r="F193" s="339" t="s">
        <v>27</v>
      </c>
      <c r="G193" s="56" t="s">
        <v>27</v>
      </c>
      <c r="H193" s="56" t="s">
        <v>27</v>
      </c>
      <c r="I193" s="56" t="s">
        <v>27</v>
      </c>
      <c r="J193" s="56" t="s">
        <v>27</v>
      </c>
      <c r="K193" s="56" t="s">
        <v>27</v>
      </c>
      <c r="L193" s="56" t="s">
        <v>27</v>
      </c>
      <c r="M193" s="340" t="s">
        <v>27</v>
      </c>
      <c r="N193" s="341" t="str">
        <f t="shared" ref="N193:BA193" si="104">IF(N110&gt;=N111,"OK","BŁĄD")</f>
        <v>OK</v>
      </c>
      <c r="O193" s="342" t="str">
        <f t="shared" si="104"/>
        <v>OK</v>
      </c>
      <c r="P193" s="342" t="str">
        <f t="shared" si="104"/>
        <v>OK</v>
      </c>
      <c r="Q193" s="342" t="str">
        <f t="shared" si="104"/>
        <v>OK</v>
      </c>
      <c r="R193" s="342" t="str">
        <f t="shared" si="104"/>
        <v>OK</v>
      </c>
      <c r="S193" s="342" t="str">
        <f t="shared" si="104"/>
        <v>OK</v>
      </c>
      <c r="T193" s="342" t="str">
        <f t="shared" si="104"/>
        <v>OK</v>
      </c>
      <c r="U193" s="342" t="str">
        <f t="shared" si="104"/>
        <v>OK</v>
      </c>
      <c r="V193" s="342" t="str">
        <f t="shared" si="104"/>
        <v>OK</v>
      </c>
      <c r="W193" s="342" t="str">
        <f t="shared" si="104"/>
        <v>OK</v>
      </c>
      <c r="X193" s="342" t="str">
        <f t="shared" si="104"/>
        <v>OK</v>
      </c>
      <c r="Y193" s="342" t="str">
        <f t="shared" si="104"/>
        <v>OK</v>
      </c>
      <c r="Z193" s="342" t="str">
        <f t="shared" si="104"/>
        <v>OK</v>
      </c>
      <c r="AA193" s="342" t="str">
        <f t="shared" si="104"/>
        <v>OK</v>
      </c>
      <c r="AB193" s="342" t="str">
        <f t="shared" si="104"/>
        <v>OK</v>
      </c>
      <c r="AC193" s="342" t="str">
        <f t="shared" si="104"/>
        <v>OK</v>
      </c>
      <c r="AD193" s="342" t="str">
        <f t="shared" si="104"/>
        <v>OK</v>
      </c>
      <c r="AE193" s="342" t="str">
        <f t="shared" si="104"/>
        <v>OK</v>
      </c>
      <c r="AF193" s="342" t="str">
        <f t="shared" si="104"/>
        <v>OK</v>
      </c>
      <c r="AG193" s="342" t="str">
        <f t="shared" si="104"/>
        <v>OK</v>
      </c>
      <c r="AH193" s="342" t="str">
        <f t="shared" si="104"/>
        <v>OK</v>
      </c>
      <c r="AI193" s="342" t="str">
        <f t="shared" si="104"/>
        <v>OK</v>
      </c>
      <c r="AJ193" s="342" t="str">
        <f t="shared" si="104"/>
        <v>OK</v>
      </c>
      <c r="AK193" s="342" t="str">
        <f t="shared" si="104"/>
        <v>OK</v>
      </c>
      <c r="AL193" s="342" t="str">
        <f t="shared" si="104"/>
        <v>OK</v>
      </c>
      <c r="AM193" s="342" t="str">
        <f t="shared" si="104"/>
        <v>OK</v>
      </c>
      <c r="AN193" s="342" t="str">
        <f t="shared" si="104"/>
        <v>OK</v>
      </c>
      <c r="AO193" s="342" t="str">
        <f t="shared" si="104"/>
        <v>OK</v>
      </c>
      <c r="AP193" s="342" t="str">
        <f t="shared" si="104"/>
        <v>OK</v>
      </c>
      <c r="AQ193" s="342" t="str">
        <f t="shared" si="104"/>
        <v>OK</v>
      </c>
      <c r="AR193" s="342" t="str">
        <f t="shared" si="104"/>
        <v>OK</v>
      </c>
      <c r="AS193" s="342" t="str">
        <f t="shared" si="104"/>
        <v>OK</v>
      </c>
      <c r="AT193" s="342" t="str">
        <f t="shared" si="104"/>
        <v>OK</v>
      </c>
      <c r="AU193" s="342" t="str">
        <f t="shared" si="104"/>
        <v>OK</v>
      </c>
      <c r="AV193" s="342" t="str">
        <f t="shared" si="104"/>
        <v>OK</v>
      </c>
      <c r="AW193" s="342" t="str">
        <f t="shared" si="104"/>
        <v>OK</v>
      </c>
      <c r="AX193" s="342" t="str">
        <f t="shared" si="104"/>
        <v>OK</v>
      </c>
      <c r="AY193" s="342" t="str">
        <f t="shared" si="104"/>
        <v>OK</v>
      </c>
      <c r="AZ193" s="342" t="str">
        <f t="shared" si="104"/>
        <v>OK</v>
      </c>
      <c r="BA193" s="343" t="str">
        <f t="shared" si="104"/>
        <v>OK</v>
      </c>
    </row>
    <row r="194" spans="1:53" s="246" customFormat="1">
      <c r="A194" s="244"/>
      <c r="B194" s="244"/>
      <c r="C194" s="344"/>
      <c r="D194" s="344"/>
      <c r="E194" s="344"/>
      <c r="F194" s="344"/>
      <c r="G194" s="344"/>
      <c r="H194" s="344"/>
      <c r="I194" s="344"/>
      <c r="J194" s="345"/>
      <c r="K194" s="345"/>
      <c r="L194" s="345"/>
      <c r="M194" s="34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s="246" customFormat="1" ht="15">
      <c r="A195" s="244"/>
      <c r="B195" s="244"/>
      <c r="C195" s="28"/>
      <c r="D195" s="28"/>
      <c r="E195" s="224" t="s">
        <v>601</v>
      </c>
      <c r="F195" s="224"/>
      <c r="G195" s="224"/>
      <c r="H195" s="224"/>
      <c r="I195" s="224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 spans="1:53" s="246" customFormat="1" outlineLevel="1">
      <c r="A196" s="244"/>
      <c r="B196" s="244"/>
      <c r="C196" s="28"/>
      <c r="D196" s="28"/>
      <c r="E196" s="146" t="str">
        <f>+E9</f>
        <v>Wyszczególnienie</v>
      </c>
      <c r="F196" s="147">
        <f t="shared" ref="F196:BA196" si="105">+F$9</f>
        <v>2015</v>
      </c>
      <c r="G196" s="147">
        <f t="shared" si="105"/>
        <v>2016</v>
      </c>
      <c r="H196" s="147">
        <f t="shared" si="105"/>
        <v>2017</v>
      </c>
      <c r="I196" s="147">
        <f t="shared" si="105"/>
        <v>2018</v>
      </c>
      <c r="J196" s="147">
        <f t="shared" si="105"/>
        <v>2019</v>
      </c>
      <c r="K196" s="148">
        <f t="shared" si="105"/>
        <v>2020</v>
      </c>
      <c r="L196" s="148">
        <f t="shared" si="105"/>
        <v>2021</v>
      </c>
      <c r="M196" s="149">
        <f t="shared" si="105"/>
        <v>2021</v>
      </c>
      <c r="N196" s="150">
        <f t="shared" si="105"/>
        <v>2022</v>
      </c>
      <c r="O196" s="151">
        <f t="shared" si="105"/>
        <v>2023</v>
      </c>
      <c r="P196" s="151">
        <f t="shared" si="105"/>
        <v>2024</v>
      </c>
      <c r="Q196" s="151">
        <f t="shared" si="105"/>
        <v>2025</v>
      </c>
      <c r="R196" s="151">
        <f t="shared" si="105"/>
        <v>2026</v>
      </c>
      <c r="S196" s="151">
        <f t="shared" si="105"/>
        <v>2027</v>
      </c>
      <c r="T196" s="151">
        <f t="shared" si="105"/>
        <v>2028</v>
      </c>
      <c r="U196" s="151">
        <f t="shared" si="105"/>
        <v>2029</v>
      </c>
      <c r="V196" s="151">
        <f t="shared" si="105"/>
        <v>2030</v>
      </c>
      <c r="W196" s="151">
        <f t="shared" si="105"/>
        <v>2031</v>
      </c>
      <c r="X196" s="151">
        <f t="shared" si="105"/>
        <v>2032</v>
      </c>
      <c r="Y196" s="151">
        <f t="shared" si="105"/>
        <v>2033</v>
      </c>
      <c r="Z196" s="151">
        <f t="shared" si="105"/>
        <v>2034</v>
      </c>
      <c r="AA196" s="151">
        <f t="shared" si="105"/>
        <v>2035</v>
      </c>
      <c r="AB196" s="151">
        <f t="shared" si="105"/>
        <v>2036</v>
      </c>
      <c r="AC196" s="151">
        <f t="shared" si="105"/>
        <v>2037</v>
      </c>
      <c r="AD196" s="151">
        <f t="shared" si="105"/>
        <v>2038</v>
      </c>
      <c r="AE196" s="151">
        <f t="shared" si="105"/>
        <v>2039</v>
      </c>
      <c r="AF196" s="151">
        <f t="shared" si="105"/>
        <v>2040</v>
      </c>
      <c r="AG196" s="151">
        <f t="shared" si="105"/>
        <v>2041</v>
      </c>
      <c r="AH196" s="151">
        <f t="shared" si="105"/>
        <v>2042</v>
      </c>
      <c r="AI196" s="151">
        <f t="shared" si="105"/>
        <v>2043</v>
      </c>
      <c r="AJ196" s="151">
        <f t="shared" si="105"/>
        <v>2044</v>
      </c>
      <c r="AK196" s="151">
        <f t="shared" si="105"/>
        <v>2045</v>
      </c>
      <c r="AL196" s="151">
        <f t="shared" si="105"/>
        <v>2046</v>
      </c>
      <c r="AM196" s="151">
        <f t="shared" si="105"/>
        <v>2047</v>
      </c>
      <c r="AN196" s="151">
        <f t="shared" si="105"/>
        <v>2048</v>
      </c>
      <c r="AO196" s="151">
        <f t="shared" si="105"/>
        <v>2049</v>
      </c>
      <c r="AP196" s="151">
        <f t="shared" si="105"/>
        <v>2050</v>
      </c>
      <c r="AQ196" s="151">
        <f t="shared" si="105"/>
        <v>2051</v>
      </c>
      <c r="AR196" s="151">
        <f t="shared" si="105"/>
        <v>2052</v>
      </c>
      <c r="AS196" s="151">
        <f t="shared" si="105"/>
        <v>2053</v>
      </c>
      <c r="AT196" s="151">
        <f t="shared" si="105"/>
        <v>2054</v>
      </c>
      <c r="AU196" s="151">
        <f t="shared" si="105"/>
        <v>2055</v>
      </c>
      <c r="AV196" s="151">
        <f t="shared" si="105"/>
        <v>2056</v>
      </c>
      <c r="AW196" s="151">
        <f t="shared" si="105"/>
        <v>2057</v>
      </c>
      <c r="AX196" s="151">
        <f t="shared" si="105"/>
        <v>2058</v>
      </c>
      <c r="AY196" s="151">
        <f t="shared" si="105"/>
        <v>2059</v>
      </c>
      <c r="AZ196" s="151">
        <f t="shared" si="105"/>
        <v>2060</v>
      </c>
      <c r="BA196" s="484">
        <f t="shared" si="105"/>
        <v>2061</v>
      </c>
    </row>
    <row r="197" spans="1:53" s="246" customFormat="1" outlineLevel="1">
      <c r="A197" s="244"/>
      <c r="B197" s="244"/>
      <c r="C197" s="28"/>
      <c r="D197" s="28"/>
      <c r="E197" s="346" t="s">
        <v>465</v>
      </c>
      <c r="F197" s="347">
        <f>+F10</f>
        <v>37654560.880000003</v>
      </c>
      <c r="G197" s="347">
        <f>+G10</f>
        <v>42577701.219999999</v>
      </c>
      <c r="H197" s="347">
        <f>+H10</f>
        <v>42272095.82</v>
      </c>
      <c r="I197" s="347">
        <f>+I10</f>
        <v>49704674.329999998</v>
      </c>
      <c r="J197" s="347">
        <f t="shared" ref="J197:BA197" si="106">+J10</f>
        <v>58761132.340000004</v>
      </c>
      <c r="K197" s="347">
        <f t="shared" si="106"/>
        <v>62485802.079999998</v>
      </c>
      <c r="L197" s="347">
        <f t="shared" si="106"/>
        <v>55356292.649999999</v>
      </c>
      <c r="M197" s="347">
        <f t="shared" si="106"/>
        <v>67688312.060000002</v>
      </c>
      <c r="N197" s="347">
        <f t="shared" si="106"/>
        <v>60726395</v>
      </c>
      <c r="O197" s="347">
        <f t="shared" si="106"/>
        <v>73658346</v>
      </c>
      <c r="P197" s="347">
        <f t="shared" si="106"/>
        <v>53707637</v>
      </c>
      <c r="Q197" s="347">
        <f t="shared" si="106"/>
        <v>55569905</v>
      </c>
      <c r="R197" s="347">
        <f t="shared" si="106"/>
        <v>57497351</v>
      </c>
      <c r="S197" s="347">
        <f t="shared" si="106"/>
        <v>59435260</v>
      </c>
      <c r="T197" s="347">
        <f t="shared" si="106"/>
        <v>61380124</v>
      </c>
      <c r="U197" s="347">
        <f t="shared" si="106"/>
        <v>63267408</v>
      </c>
      <c r="V197" s="347">
        <f t="shared" si="106"/>
        <v>65087663</v>
      </c>
      <c r="W197" s="347">
        <f t="shared" si="106"/>
        <v>66896118</v>
      </c>
      <c r="X197" s="347">
        <f t="shared" si="106"/>
        <v>68188813</v>
      </c>
      <c r="Y197" s="347">
        <f t="shared" si="106"/>
        <v>69961722</v>
      </c>
      <c r="Z197" s="347">
        <f t="shared" si="106"/>
        <v>0</v>
      </c>
      <c r="AA197" s="347">
        <f t="shared" si="106"/>
        <v>0</v>
      </c>
      <c r="AB197" s="347">
        <f t="shared" si="106"/>
        <v>0</v>
      </c>
      <c r="AC197" s="347">
        <f t="shared" si="106"/>
        <v>0</v>
      </c>
      <c r="AD197" s="347">
        <f t="shared" si="106"/>
        <v>0</v>
      </c>
      <c r="AE197" s="347">
        <f t="shared" si="106"/>
        <v>0</v>
      </c>
      <c r="AF197" s="347">
        <f t="shared" si="106"/>
        <v>0</v>
      </c>
      <c r="AG197" s="347">
        <f t="shared" si="106"/>
        <v>0</v>
      </c>
      <c r="AH197" s="347">
        <f t="shared" si="106"/>
        <v>0</v>
      </c>
      <c r="AI197" s="347">
        <f t="shared" si="106"/>
        <v>0</v>
      </c>
      <c r="AJ197" s="347">
        <f t="shared" si="106"/>
        <v>0</v>
      </c>
      <c r="AK197" s="347">
        <f t="shared" si="106"/>
        <v>0</v>
      </c>
      <c r="AL197" s="347">
        <f t="shared" si="106"/>
        <v>0</v>
      </c>
      <c r="AM197" s="347">
        <f t="shared" si="106"/>
        <v>0</v>
      </c>
      <c r="AN197" s="347">
        <f t="shared" si="106"/>
        <v>0</v>
      </c>
      <c r="AO197" s="347">
        <f t="shared" si="106"/>
        <v>0</v>
      </c>
      <c r="AP197" s="347">
        <f t="shared" si="106"/>
        <v>0</v>
      </c>
      <c r="AQ197" s="347">
        <f t="shared" si="106"/>
        <v>0</v>
      </c>
      <c r="AR197" s="347">
        <f t="shared" si="106"/>
        <v>0</v>
      </c>
      <c r="AS197" s="347">
        <f t="shared" si="106"/>
        <v>0</v>
      </c>
      <c r="AT197" s="347">
        <f t="shared" si="106"/>
        <v>0</v>
      </c>
      <c r="AU197" s="347">
        <f t="shared" si="106"/>
        <v>0</v>
      </c>
      <c r="AV197" s="347">
        <f t="shared" si="106"/>
        <v>0</v>
      </c>
      <c r="AW197" s="347">
        <f t="shared" si="106"/>
        <v>0</v>
      </c>
      <c r="AX197" s="347">
        <f t="shared" si="106"/>
        <v>0</v>
      </c>
      <c r="AY197" s="347">
        <f t="shared" si="106"/>
        <v>0</v>
      </c>
      <c r="AZ197" s="347">
        <f t="shared" si="106"/>
        <v>0</v>
      </c>
      <c r="BA197" s="348">
        <f t="shared" si="106"/>
        <v>0</v>
      </c>
    </row>
    <row r="198" spans="1:53" s="246" customFormat="1" outlineLevel="1">
      <c r="A198" s="244"/>
      <c r="B198" s="244"/>
      <c r="C198" s="28"/>
      <c r="D198" s="28"/>
      <c r="E198" s="349" t="s">
        <v>470</v>
      </c>
      <c r="F198" s="350">
        <f>+F22-F26-F103</f>
        <v>31102584.52</v>
      </c>
      <c r="G198" s="350">
        <f>+G22-G26-G103</f>
        <v>31658637.899999999</v>
      </c>
      <c r="H198" s="350">
        <f>+H22-H26-H103</f>
        <v>34003440.769999996</v>
      </c>
      <c r="I198" s="350">
        <f>+I22-I26-I103</f>
        <v>35750132.149999999</v>
      </c>
      <c r="J198" s="350">
        <f t="shared" ref="J198:BA198" si="107">+J22-J26-J103</f>
        <v>39022223.989999995</v>
      </c>
      <c r="K198" s="350">
        <f t="shared" si="107"/>
        <v>42888138.530000001</v>
      </c>
      <c r="L198" s="350">
        <f t="shared" si="107"/>
        <v>47316304.649999999</v>
      </c>
      <c r="M198" s="350">
        <f t="shared" si="107"/>
        <v>47345857.340000004</v>
      </c>
      <c r="N198" s="350">
        <f t="shared" si="107"/>
        <v>48504045</v>
      </c>
      <c r="O198" s="350">
        <f t="shared" si="107"/>
        <v>48937204</v>
      </c>
      <c r="P198" s="350">
        <f t="shared" si="107"/>
        <v>50258509</v>
      </c>
      <c r="Q198" s="350">
        <f t="shared" si="107"/>
        <v>51514972</v>
      </c>
      <c r="R198" s="350">
        <f t="shared" si="107"/>
        <v>52802846</v>
      </c>
      <c r="S198" s="350">
        <f t="shared" si="107"/>
        <v>54122917</v>
      </c>
      <c r="T198" s="350">
        <f t="shared" si="107"/>
        <v>55475990</v>
      </c>
      <c r="U198" s="350">
        <f t="shared" si="107"/>
        <v>56862890</v>
      </c>
      <c r="V198" s="350">
        <f t="shared" si="107"/>
        <v>58284462</v>
      </c>
      <c r="W198" s="350">
        <f t="shared" si="107"/>
        <v>59741573</v>
      </c>
      <c r="X198" s="350">
        <f t="shared" si="107"/>
        <v>61235112</v>
      </c>
      <c r="Y198" s="350">
        <f t="shared" si="107"/>
        <v>62765990</v>
      </c>
      <c r="Z198" s="350">
        <f t="shared" si="107"/>
        <v>0</v>
      </c>
      <c r="AA198" s="350">
        <f t="shared" si="107"/>
        <v>0</v>
      </c>
      <c r="AB198" s="350">
        <f t="shared" si="107"/>
        <v>0</v>
      </c>
      <c r="AC198" s="350">
        <f t="shared" si="107"/>
        <v>0</v>
      </c>
      <c r="AD198" s="350">
        <f t="shared" si="107"/>
        <v>0</v>
      </c>
      <c r="AE198" s="350">
        <f t="shared" si="107"/>
        <v>0</v>
      </c>
      <c r="AF198" s="350">
        <f t="shared" si="107"/>
        <v>0</v>
      </c>
      <c r="AG198" s="350">
        <f t="shared" si="107"/>
        <v>0</v>
      </c>
      <c r="AH198" s="350">
        <f t="shared" si="107"/>
        <v>0</v>
      </c>
      <c r="AI198" s="350">
        <f t="shared" si="107"/>
        <v>0</v>
      </c>
      <c r="AJ198" s="350">
        <f t="shared" si="107"/>
        <v>0</v>
      </c>
      <c r="AK198" s="350">
        <f t="shared" si="107"/>
        <v>0</v>
      </c>
      <c r="AL198" s="350">
        <f t="shared" si="107"/>
        <v>0</v>
      </c>
      <c r="AM198" s="350">
        <f t="shared" si="107"/>
        <v>0</v>
      </c>
      <c r="AN198" s="350">
        <f t="shared" si="107"/>
        <v>0</v>
      </c>
      <c r="AO198" s="350">
        <f t="shared" si="107"/>
        <v>0</v>
      </c>
      <c r="AP198" s="350">
        <f t="shared" si="107"/>
        <v>0</v>
      </c>
      <c r="AQ198" s="350">
        <f t="shared" si="107"/>
        <v>0</v>
      </c>
      <c r="AR198" s="350">
        <f t="shared" si="107"/>
        <v>0</v>
      </c>
      <c r="AS198" s="350">
        <f t="shared" si="107"/>
        <v>0</v>
      </c>
      <c r="AT198" s="350">
        <f t="shared" si="107"/>
        <v>0</v>
      </c>
      <c r="AU198" s="350">
        <f t="shared" si="107"/>
        <v>0</v>
      </c>
      <c r="AV198" s="350">
        <f t="shared" si="107"/>
        <v>0</v>
      </c>
      <c r="AW198" s="350">
        <f t="shared" si="107"/>
        <v>0</v>
      </c>
      <c r="AX198" s="350">
        <f t="shared" si="107"/>
        <v>0</v>
      </c>
      <c r="AY198" s="350">
        <f t="shared" si="107"/>
        <v>0</v>
      </c>
      <c r="AZ198" s="350">
        <f t="shared" si="107"/>
        <v>0</v>
      </c>
      <c r="BA198" s="351">
        <f t="shared" si="107"/>
        <v>0</v>
      </c>
    </row>
    <row r="199" spans="1:53" s="246" customFormat="1" outlineLevel="1">
      <c r="A199" s="244"/>
      <c r="B199" s="244"/>
      <c r="C199" s="28"/>
      <c r="D199" s="28"/>
      <c r="E199" s="352" t="s">
        <v>455</v>
      </c>
      <c r="F199" s="350">
        <f>+F38+F40</f>
        <v>0</v>
      </c>
      <c r="G199" s="350">
        <f>+G38+G40</f>
        <v>0</v>
      </c>
      <c r="H199" s="350">
        <f>+H38+H40</f>
        <v>0</v>
      </c>
      <c r="I199" s="350">
        <f>+I38+I40</f>
        <v>0</v>
      </c>
      <c r="J199" s="350">
        <f t="shared" ref="J199:BA199" si="108">+J38+J40</f>
        <v>1699428.56</v>
      </c>
      <c r="K199" s="350">
        <f t="shared" si="108"/>
        <v>6906547.6299999999</v>
      </c>
      <c r="L199" s="350">
        <f t="shared" si="108"/>
        <v>10590000</v>
      </c>
      <c r="M199" s="350">
        <f t="shared" si="108"/>
        <v>10631472.84</v>
      </c>
      <c r="N199" s="350">
        <f t="shared" si="108"/>
        <v>8130538</v>
      </c>
      <c r="O199" s="350">
        <f t="shared" si="108"/>
        <v>0</v>
      </c>
      <c r="P199" s="350">
        <f t="shared" si="108"/>
        <v>0</v>
      </c>
      <c r="Q199" s="350">
        <f t="shared" si="108"/>
        <v>0</v>
      </c>
      <c r="R199" s="350">
        <f t="shared" si="108"/>
        <v>0</v>
      </c>
      <c r="S199" s="350">
        <f t="shared" si="108"/>
        <v>0</v>
      </c>
      <c r="T199" s="350">
        <f t="shared" si="108"/>
        <v>0</v>
      </c>
      <c r="U199" s="350">
        <f t="shared" si="108"/>
        <v>0</v>
      </c>
      <c r="V199" s="350">
        <f t="shared" si="108"/>
        <v>0</v>
      </c>
      <c r="W199" s="350">
        <f t="shared" si="108"/>
        <v>0</v>
      </c>
      <c r="X199" s="350">
        <f t="shared" si="108"/>
        <v>0</v>
      </c>
      <c r="Y199" s="350">
        <f t="shared" si="108"/>
        <v>0</v>
      </c>
      <c r="Z199" s="350">
        <f t="shared" si="108"/>
        <v>0</v>
      </c>
      <c r="AA199" s="350">
        <f t="shared" si="108"/>
        <v>0</v>
      </c>
      <c r="AB199" s="350">
        <f t="shared" si="108"/>
        <v>0</v>
      </c>
      <c r="AC199" s="350">
        <f t="shared" si="108"/>
        <v>0</v>
      </c>
      <c r="AD199" s="350">
        <f t="shared" si="108"/>
        <v>0</v>
      </c>
      <c r="AE199" s="350">
        <f t="shared" si="108"/>
        <v>0</v>
      </c>
      <c r="AF199" s="350">
        <f t="shared" si="108"/>
        <v>0</v>
      </c>
      <c r="AG199" s="350">
        <f t="shared" si="108"/>
        <v>0</v>
      </c>
      <c r="AH199" s="350">
        <f t="shared" si="108"/>
        <v>0</v>
      </c>
      <c r="AI199" s="350">
        <f t="shared" si="108"/>
        <v>0</v>
      </c>
      <c r="AJ199" s="350">
        <f t="shared" si="108"/>
        <v>0</v>
      </c>
      <c r="AK199" s="350">
        <f t="shared" si="108"/>
        <v>0</v>
      </c>
      <c r="AL199" s="350">
        <f t="shared" si="108"/>
        <v>0</v>
      </c>
      <c r="AM199" s="350">
        <f t="shared" si="108"/>
        <v>0</v>
      </c>
      <c r="AN199" s="350">
        <f t="shared" si="108"/>
        <v>0</v>
      </c>
      <c r="AO199" s="350">
        <f t="shared" si="108"/>
        <v>0</v>
      </c>
      <c r="AP199" s="350">
        <f t="shared" si="108"/>
        <v>0</v>
      </c>
      <c r="AQ199" s="350">
        <f t="shared" si="108"/>
        <v>0</v>
      </c>
      <c r="AR199" s="350">
        <f t="shared" si="108"/>
        <v>0</v>
      </c>
      <c r="AS199" s="350">
        <f t="shared" si="108"/>
        <v>0</v>
      </c>
      <c r="AT199" s="350">
        <f t="shared" si="108"/>
        <v>0</v>
      </c>
      <c r="AU199" s="350">
        <f t="shared" si="108"/>
        <v>0</v>
      </c>
      <c r="AV199" s="350">
        <f t="shared" si="108"/>
        <v>0</v>
      </c>
      <c r="AW199" s="350">
        <f t="shared" si="108"/>
        <v>0</v>
      </c>
      <c r="AX199" s="350">
        <f t="shared" si="108"/>
        <v>0</v>
      </c>
      <c r="AY199" s="350">
        <f t="shared" si="108"/>
        <v>0</v>
      </c>
      <c r="AZ199" s="350">
        <f t="shared" si="108"/>
        <v>0</v>
      </c>
      <c r="BA199" s="351">
        <f t="shared" si="108"/>
        <v>0</v>
      </c>
    </row>
    <row r="200" spans="1:53" s="246" customFormat="1" outlineLevel="1">
      <c r="A200" s="244"/>
      <c r="B200" s="244"/>
      <c r="C200" s="28"/>
      <c r="D200" s="28"/>
      <c r="E200" s="353" t="s">
        <v>456</v>
      </c>
      <c r="F200" s="350">
        <f>+F44+F42</f>
        <v>0</v>
      </c>
      <c r="G200" s="350">
        <f>+G44+G42</f>
        <v>0</v>
      </c>
      <c r="H200" s="350">
        <f>+H44+H42</f>
        <v>0</v>
      </c>
      <c r="I200" s="350">
        <f>+I44+I42</f>
        <v>0</v>
      </c>
      <c r="J200" s="350">
        <f t="shared" ref="J200:BA200" si="109">+J44+J42</f>
        <v>0</v>
      </c>
      <c r="K200" s="350">
        <f t="shared" si="109"/>
        <v>0</v>
      </c>
      <c r="L200" s="350">
        <f t="shared" si="109"/>
        <v>0</v>
      </c>
      <c r="M200" s="350">
        <f t="shared" si="109"/>
        <v>0</v>
      </c>
      <c r="N200" s="350">
        <f t="shared" si="109"/>
        <v>32000</v>
      </c>
      <c r="O200" s="350">
        <f t="shared" si="109"/>
        <v>0</v>
      </c>
      <c r="P200" s="350">
        <f t="shared" si="109"/>
        <v>0</v>
      </c>
      <c r="Q200" s="350">
        <f t="shared" si="109"/>
        <v>0</v>
      </c>
      <c r="R200" s="350">
        <f t="shared" si="109"/>
        <v>0</v>
      </c>
      <c r="S200" s="350">
        <f t="shared" si="109"/>
        <v>0</v>
      </c>
      <c r="T200" s="350">
        <f t="shared" si="109"/>
        <v>0</v>
      </c>
      <c r="U200" s="350">
        <f t="shared" si="109"/>
        <v>0</v>
      </c>
      <c r="V200" s="350">
        <f t="shared" si="109"/>
        <v>0</v>
      </c>
      <c r="W200" s="350">
        <f t="shared" si="109"/>
        <v>0</v>
      </c>
      <c r="X200" s="350">
        <f t="shared" si="109"/>
        <v>0</v>
      </c>
      <c r="Y200" s="350">
        <f t="shared" si="109"/>
        <v>0</v>
      </c>
      <c r="Z200" s="350">
        <f t="shared" si="109"/>
        <v>0</v>
      </c>
      <c r="AA200" s="350">
        <f t="shared" si="109"/>
        <v>0</v>
      </c>
      <c r="AB200" s="350">
        <f t="shared" si="109"/>
        <v>0</v>
      </c>
      <c r="AC200" s="350">
        <f t="shared" si="109"/>
        <v>0</v>
      </c>
      <c r="AD200" s="350">
        <f t="shared" si="109"/>
        <v>0</v>
      </c>
      <c r="AE200" s="350">
        <f t="shared" si="109"/>
        <v>0</v>
      </c>
      <c r="AF200" s="350">
        <f t="shared" si="109"/>
        <v>0</v>
      </c>
      <c r="AG200" s="350">
        <f t="shared" si="109"/>
        <v>0</v>
      </c>
      <c r="AH200" s="350">
        <f t="shared" si="109"/>
        <v>0</v>
      </c>
      <c r="AI200" s="350">
        <f t="shared" si="109"/>
        <v>0</v>
      </c>
      <c r="AJ200" s="350">
        <f t="shared" si="109"/>
        <v>0</v>
      </c>
      <c r="AK200" s="350">
        <f t="shared" si="109"/>
        <v>0</v>
      </c>
      <c r="AL200" s="350">
        <f t="shared" si="109"/>
        <v>0</v>
      </c>
      <c r="AM200" s="350">
        <f t="shared" si="109"/>
        <v>0</v>
      </c>
      <c r="AN200" s="350">
        <f t="shared" si="109"/>
        <v>0</v>
      </c>
      <c r="AO200" s="350">
        <f t="shared" si="109"/>
        <v>0</v>
      </c>
      <c r="AP200" s="350">
        <f t="shared" si="109"/>
        <v>0</v>
      </c>
      <c r="AQ200" s="350">
        <f t="shared" si="109"/>
        <v>0</v>
      </c>
      <c r="AR200" s="350">
        <f t="shared" si="109"/>
        <v>0</v>
      </c>
      <c r="AS200" s="350">
        <f t="shared" si="109"/>
        <v>0</v>
      </c>
      <c r="AT200" s="350">
        <f t="shared" si="109"/>
        <v>0</v>
      </c>
      <c r="AU200" s="350">
        <f t="shared" si="109"/>
        <v>0</v>
      </c>
      <c r="AV200" s="350">
        <f t="shared" si="109"/>
        <v>0</v>
      </c>
      <c r="AW200" s="350">
        <f t="shared" si="109"/>
        <v>0</v>
      </c>
      <c r="AX200" s="350">
        <f t="shared" si="109"/>
        <v>0</v>
      </c>
      <c r="AY200" s="350">
        <f t="shared" si="109"/>
        <v>0</v>
      </c>
      <c r="AZ200" s="350">
        <f t="shared" si="109"/>
        <v>0</v>
      </c>
      <c r="BA200" s="351">
        <f t="shared" si="109"/>
        <v>0</v>
      </c>
    </row>
    <row r="201" spans="1:53" s="246" customFormat="1" outlineLevel="1">
      <c r="A201" s="244"/>
      <c r="B201" s="244"/>
      <c r="C201" s="28"/>
      <c r="D201" s="28"/>
      <c r="E201" s="354" t="s">
        <v>464</v>
      </c>
      <c r="F201" s="355">
        <f>+ROUND(F197-F198+F199+F200,2)</f>
        <v>6551976.3600000003</v>
      </c>
      <c r="G201" s="355">
        <f>+ROUND(G197-G198+G199+G200,2)</f>
        <v>10919063.32</v>
      </c>
      <c r="H201" s="355">
        <f>+ROUND(H197-H198+H199+H200,2)</f>
        <v>8268655.0499999998</v>
      </c>
      <c r="I201" s="355">
        <f>+ROUND(I197-I198+I199+I200,2)</f>
        <v>13954542.18</v>
      </c>
      <c r="J201" s="355">
        <f t="shared" ref="J201:BA201" si="110">+ROUND(J197-J198+J199+J200,2)</f>
        <v>21438336.91</v>
      </c>
      <c r="K201" s="355">
        <f t="shared" si="110"/>
        <v>26504211.18</v>
      </c>
      <c r="L201" s="355">
        <f t="shared" si="110"/>
        <v>18629988</v>
      </c>
      <c r="M201" s="355">
        <f t="shared" si="110"/>
        <v>30973927.559999999</v>
      </c>
      <c r="N201" s="355">
        <f t="shared" si="110"/>
        <v>20384888</v>
      </c>
      <c r="O201" s="355">
        <f t="shared" si="110"/>
        <v>24721142</v>
      </c>
      <c r="P201" s="355">
        <f t="shared" si="110"/>
        <v>3449128</v>
      </c>
      <c r="Q201" s="355">
        <f t="shared" si="110"/>
        <v>4054933</v>
      </c>
      <c r="R201" s="355">
        <f t="shared" si="110"/>
        <v>4694505</v>
      </c>
      <c r="S201" s="355">
        <f t="shared" si="110"/>
        <v>5312343</v>
      </c>
      <c r="T201" s="355">
        <f t="shared" si="110"/>
        <v>5904134</v>
      </c>
      <c r="U201" s="355">
        <f t="shared" si="110"/>
        <v>6404518</v>
      </c>
      <c r="V201" s="355">
        <f t="shared" si="110"/>
        <v>6803201</v>
      </c>
      <c r="W201" s="355">
        <f t="shared" si="110"/>
        <v>7154545</v>
      </c>
      <c r="X201" s="355">
        <f t="shared" si="110"/>
        <v>6953701</v>
      </c>
      <c r="Y201" s="355">
        <f t="shared" si="110"/>
        <v>7195732</v>
      </c>
      <c r="Z201" s="355">
        <f t="shared" si="110"/>
        <v>0</v>
      </c>
      <c r="AA201" s="355">
        <f t="shared" si="110"/>
        <v>0</v>
      </c>
      <c r="AB201" s="355">
        <f t="shared" si="110"/>
        <v>0</v>
      </c>
      <c r="AC201" s="355">
        <f t="shared" si="110"/>
        <v>0</v>
      </c>
      <c r="AD201" s="355">
        <f t="shared" si="110"/>
        <v>0</v>
      </c>
      <c r="AE201" s="355">
        <f t="shared" si="110"/>
        <v>0</v>
      </c>
      <c r="AF201" s="355">
        <f t="shared" si="110"/>
        <v>0</v>
      </c>
      <c r="AG201" s="355">
        <f t="shared" si="110"/>
        <v>0</v>
      </c>
      <c r="AH201" s="355">
        <f t="shared" si="110"/>
        <v>0</v>
      </c>
      <c r="AI201" s="355">
        <f t="shared" si="110"/>
        <v>0</v>
      </c>
      <c r="AJ201" s="355">
        <f t="shared" si="110"/>
        <v>0</v>
      </c>
      <c r="AK201" s="355">
        <f t="shared" si="110"/>
        <v>0</v>
      </c>
      <c r="AL201" s="355">
        <f t="shared" si="110"/>
        <v>0</v>
      </c>
      <c r="AM201" s="355">
        <f t="shared" si="110"/>
        <v>0</v>
      </c>
      <c r="AN201" s="355">
        <f t="shared" si="110"/>
        <v>0</v>
      </c>
      <c r="AO201" s="355">
        <f t="shared" si="110"/>
        <v>0</v>
      </c>
      <c r="AP201" s="355">
        <f t="shared" si="110"/>
        <v>0</v>
      </c>
      <c r="AQ201" s="355">
        <f t="shared" si="110"/>
        <v>0</v>
      </c>
      <c r="AR201" s="355">
        <f t="shared" si="110"/>
        <v>0</v>
      </c>
      <c r="AS201" s="355">
        <f t="shared" si="110"/>
        <v>0</v>
      </c>
      <c r="AT201" s="355">
        <f t="shared" si="110"/>
        <v>0</v>
      </c>
      <c r="AU201" s="355">
        <f t="shared" si="110"/>
        <v>0</v>
      </c>
      <c r="AV201" s="355">
        <f t="shared" si="110"/>
        <v>0</v>
      </c>
      <c r="AW201" s="355">
        <f t="shared" si="110"/>
        <v>0</v>
      </c>
      <c r="AX201" s="355">
        <f t="shared" si="110"/>
        <v>0</v>
      </c>
      <c r="AY201" s="355">
        <f t="shared" si="110"/>
        <v>0</v>
      </c>
      <c r="AZ201" s="355">
        <f t="shared" si="110"/>
        <v>0</v>
      </c>
      <c r="BA201" s="356">
        <f t="shared" si="110"/>
        <v>0</v>
      </c>
    </row>
    <row r="202" spans="1:53" s="246" customFormat="1" outlineLevel="1">
      <c r="A202" s="244"/>
      <c r="B202" s="244"/>
      <c r="C202" s="28"/>
      <c r="D202" s="28"/>
      <c r="E202" s="352" t="s">
        <v>462</v>
      </c>
      <c r="F202" s="350">
        <f>+F47</f>
        <v>0</v>
      </c>
      <c r="G202" s="350">
        <f>+G47</f>
        <v>0</v>
      </c>
      <c r="H202" s="350">
        <f>+H47</f>
        <v>0</v>
      </c>
      <c r="I202" s="350">
        <f>+I47</f>
        <v>0</v>
      </c>
      <c r="J202" s="350">
        <f t="shared" ref="J202:BA202" si="111">+J47</f>
        <v>0</v>
      </c>
      <c r="K202" s="350">
        <f t="shared" si="111"/>
        <v>0</v>
      </c>
      <c r="L202" s="350">
        <f t="shared" si="111"/>
        <v>2000000</v>
      </c>
      <c r="M202" s="350">
        <f t="shared" si="111"/>
        <v>2000000</v>
      </c>
      <c r="N202" s="350">
        <f t="shared" si="111"/>
        <v>0</v>
      </c>
      <c r="O202" s="350">
        <f t="shared" si="111"/>
        <v>2000000</v>
      </c>
      <c r="P202" s="350">
        <f t="shared" si="111"/>
        <v>1915000</v>
      </c>
      <c r="Q202" s="350">
        <f t="shared" si="111"/>
        <v>2000000</v>
      </c>
      <c r="R202" s="350">
        <f t="shared" si="111"/>
        <v>2000000</v>
      </c>
      <c r="S202" s="350">
        <f t="shared" si="111"/>
        <v>2000000</v>
      </c>
      <c r="T202" s="350">
        <f t="shared" si="111"/>
        <v>1500000</v>
      </c>
      <c r="U202" s="350">
        <f t="shared" si="111"/>
        <v>1500000</v>
      </c>
      <c r="V202" s="350">
        <f t="shared" si="111"/>
        <v>1500000</v>
      </c>
      <c r="W202" s="350">
        <f t="shared" si="111"/>
        <v>1500000</v>
      </c>
      <c r="X202" s="350">
        <f t="shared" si="111"/>
        <v>1750000</v>
      </c>
      <c r="Y202" s="350">
        <f t="shared" si="111"/>
        <v>1750000</v>
      </c>
      <c r="Z202" s="350">
        <f t="shared" si="111"/>
        <v>0</v>
      </c>
      <c r="AA202" s="350">
        <f t="shared" si="111"/>
        <v>0</v>
      </c>
      <c r="AB202" s="350">
        <f t="shared" si="111"/>
        <v>0</v>
      </c>
      <c r="AC202" s="350">
        <f t="shared" si="111"/>
        <v>0</v>
      </c>
      <c r="AD202" s="350">
        <f t="shared" si="111"/>
        <v>0</v>
      </c>
      <c r="AE202" s="350">
        <f t="shared" si="111"/>
        <v>0</v>
      </c>
      <c r="AF202" s="350">
        <f t="shared" si="111"/>
        <v>0</v>
      </c>
      <c r="AG202" s="350">
        <f t="shared" si="111"/>
        <v>0</v>
      </c>
      <c r="AH202" s="350">
        <f t="shared" si="111"/>
        <v>0</v>
      </c>
      <c r="AI202" s="350">
        <f t="shared" si="111"/>
        <v>0</v>
      </c>
      <c r="AJ202" s="350">
        <f t="shared" si="111"/>
        <v>0</v>
      </c>
      <c r="AK202" s="350">
        <f t="shared" si="111"/>
        <v>0</v>
      </c>
      <c r="AL202" s="350">
        <f t="shared" si="111"/>
        <v>0</v>
      </c>
      <c r="AM202" s="350">
        <f t="shared" si="111"/>
        <v>0</v>
      </c>
      <c r="AN202" s="350">
        <f t="shared" si="111"/>
        <v>0</v>
      </c>
      <c r="AO202" s="350">
        <f t="shared" si="111"/>
        <v>0</v>
      </c>
      <c r="AP202" s="350">
        <f t="shared" si="111"/>
        <v>0</v>
      </c>
      <c r="AQ202" s="350">
        <f t="shared" si="111"/>
        <v>0</v>
      </c>
      <c r="AR202" s="350">
        <f t="shared" si="111"/>
        <v>0</v>
      </c>
      <c r="AS202" s="350">
        <f t="shared" si="111"/>
        <v>0</v>
      </c>
      <c r="AT202" s="350">
        <f t="shared" si="111"/>
        <v>0</v>
      </c>
      <c r="AU202" s="350">
        <f t="shared" si="111"/>
        <v>0</v>
      </c>
      <c r="AV202" s="350">
        <f t="shared" si="111"/>
        <v>0</v>
      </c>
      <c r="AW202" s="350">
        <f t="shared" si="111"/>
        <v>0</v>
      </c>
      <c r="AX202" s="350">
        <f t="shared" si="111"/>
        <v>0</v>
      </c>
      <c r="AY202" s="350">
        <f t="shared" si="111"/>
        <v>0</v>
      </c>
      <c r="AZ202" s="350">
        <f t="shared" si="111"/>
        <v>0</v>
      </c>
      <c r="BA202" s="351">
        <f t="shared" si="111"/>
        <v>0</v>
      </c>
    </row>
    <row r="203" spans="1:53" s="246" customFormat="1" outlineLevel="1">
      <c r="A203" s="244"/>
      <c r="B203" s="244"/>
      <c r="C203" s="28"/>
      <c r="D203" s="28"/>
      <c r="E203" s="352" t="s">
        <v>471</v>
      </c>
      <c r="F203" s="350">
        <f>+F102-F103</f>
        <v>0</v>
      </c>
      <c r="G203" s="350">
        <f>+G102-G103</f>
        <v>0</v>
      </c>
      <c r="H203" s="350">
        <f>+H102-H103</f>
        <v>0</v>
      </c>
      <c r="I203" s="350">
        <f>+I102-I103</f>
        <v>0</v>
      </c>
      <c r="J203" s="350">
        <f t="shared" ref="J203:BA203" si="112">+J102-J103</f>
        <v>0</v>
      </c>
      <c r="K203" s="350">
        <f t="shared" si="112"/>
        <v>0</v>
      </c>
      <c r="L203" s="350">
        <f t="shared" si="112"/>
        <v>0</v>
      </c>
      <c r="M203" s="350">
        <f t="shared" si="112"/>
        <v>0</v>
      </c>
      <c r="N203" s="350">
        <f t="shared" si="112"/>
        <v>0</v>
      </c>
      <c r="O203" s="350">
        <f t="shared" si="112"/>
        <v>0</v>
      </c>
      <c r="P203" s="350">
        <f t="shared" si="112"/>
        <v>0</v>
      </c>
      <c r="Q203" s="350">
        <f t="shared" si="112"/>
        <v>0</v>
      </c>
      <c r="R203" s="350">
        <f t="shared" si="112"/>
        <v>0</v>
      </c>
      <c r="S203" s="350">
        <f t="shared" si="112"/>
        <v>0</v>
      </c>
      <c r="T203" s="350">
        <f t="shared" si="112"/>
        <v>0</v>
      </c>
      <c r="U203" s="350">
        <f t="shared" si="112"/>
        <v>0</v>
      </c>
      <c r="V203" s="350">
        <f t="shared" si="112"/>
        <v>0</v>
      </c>
      <c r="W203" s="350">
        <f t="shared" si="112"/>
        <v>0</v>
      </c>
      <c r="X203" s="350">
        <f t="shared" si="112"/>
        <v>0</v>
      </c>
      <c r="Y203" s="350">
        <f t="shared" si="112"/>
        <v>0</v>
      </c>
      <c r="Z203" s="350">
        <f t="shared" si="112"/>
        <v>0</v>
      </c>
      <c r="AA203" s="350">
        <f t="shared" si="112"/>
        <v>0</v>
      </c>
      <c r="AB203" s="350">
        <f t="shared" si="112"/>
        <v>0</v>
      </c>
      <c r="AC203" s="350">
        <f t="shared" si="112"/>
        <v>0</v>
      </c>
      <c r="AD203" s="350">
        <f t="shared" si="112"/>
        <v>0</v>
      </c>
      <c r="AE203" s="350">
        <f t="shared" si="112"/>
        <v>0</v>
      </c>
      <c r="AF203" s="350">
        <f t="shared" si="112"/>
        <v>0</v>
      </c>
      <c r="AG203" s="350">
        <f t="shared" si="112"/>
        <v>0</v>
      </c>
      <c r="AH203" s="350">
        <f t="shared" si="112"/>
        <v>0</v>
      </c>
      <c r="AI203" s="350">
        <f t="shared" si="112"/>
        <v>0</v>
      </c>
      <c r="AJ203" s="350">
        <f t="shared" si="112"/>
        <v>0</v>
      </c>
      <c r="AK203" s="350">
        <f t="shared" si="112"/>
        <v>0</v>
      </c>
      <c r="AL203" s="350">
        <f t="shared" si="112"/>
        <v>0</v>
      </c>
      <c r="AM203" s="350">
        <f t="shared" si="112"/>
        <v>0</v>
      </c>
      <c r="AN203" s="350">
        <f t="shared" si="112"/>
        <v>0</v>
      </c>
      <c r="AO203" s="350">
        <f t="shared" si="112"/>
        <v>0</v>
      </c>
      <c r="AP203" s="350">
        <f t="shared" si="112"/>
        <v>0</v>
      </c>
      <c r="AQ203" s="350">
        <f t="shared" si="112"/>
        <v>0</v>
      </c>
      <c r="AR203" s="350">
        <f t="shared" si="112"/>
        <v>0</v>
      </c>
      <c r="AS203" s="350">
        <f t="shared" si="112"/>
        <v>0</v>
      </c>
      <c r="AT203" s="350">
        <f t="shared" si="112"/>
        <v>0</v>
      </c>
      <c r="AU203" s="350">
        <f t="shared" si="112"/>
        <v>0</v>
      </c>
      <c r="AV203" s="350">
        <f t="shared" si="112"/>
        <v>0</v>
      </c>
      <c r="AW203" s="350">
        <f t="shared" si="112"/>
        <v>0</v>
      </c>
      <c r="AX203" s="350">
        <f t="shared" si="112"/>
        <v>0</v>
      </c>
      <c r="AY203" s="350">
        <f t="shared" si="112"/>
        <v>0</v>
      </c>
      <c r="AZ203" s="350">
        <f t="shared" si="112"/>
        <v>0</v>
      </c>
      <c r="BA203" s="351">
        <f t="shared" si="112"/>
        <v>0</v>
      </c>
    </row>
    <row r="204" spans="1:53" s="246" customFormat="1" outlineLevel="1">
      <c r="A204" s="244"/>
      <c r="B204" s="244"/>
      <c r="C204" s="28"/>
      <c r="D204" s="28"/>
      <c r="E204" s="352" t="s">
        <v>560</v>
      </c>
      <c r="F204" s="350">
        <f>+F103</f>
        <v>0</v>
      </c>
      <c r="G204" s="350">
        <f>+G103</f>
        <v>0</v>
      </c>
      <c r="H204" s="350">
        <f>+H103</f>
        <v>0</v>
      </c>
      <c r="I204" s="350">
        <f>+I103</f>
        <v>0</v>
      </c>
      <c r="J204" s="350">
        <f t="shared" ref="J204:BA204" si="113">+J103</f>
        <v>0</v>
      </c>
      <c r="K204" s="350">
        <f t="shared" si="113"/>
        <v>0</v>
      </c>
      <c r="L204" s="350">
        <f t="shared" si="113"/>
        <v>0</v>
      </c>
      <c r="M204" s="350">
        <f t="shared" si="113"/>
        <v>0</v>
      </c>
      <c r="N204" s="350">
        <f t="shared" si="113"/>
        <v>0</v>
      </c>
      <c r="O204" s="350">
        <f t="shared" si="113"/>
        <v>0</v>
      </c>
      <c r="P204" s="350">
        <f t="shared" si="113"/>
        <v>0</v>
      </c>
      <c r="Q204" s="350">
        <f t="shared" si="113"/>
        <v>0</v>
      </c>
      <c r="R204" s="350">
        <f t="shared" si="113"/>
        <v>0</v>
      </c>
      <c r="S204" s="350">
        <f t="shared" si="113"/>
        <v>0</v>
      </c>
      <c r="T204" s="350">
        <f t="shared" si="113"/>
        <v>0</v>
      </c>
      <c r="U204" s="350">
        <f t="shared" si="113"/>
        <v>0</v>
      </c>
      <c r="V204" s="350">
        <f t="shared" si="113"/>
        <v>0</v>
      </c>
      <c r="W204" s="350">
        <f t="shared" si="113"/>
        <v>0</v>
      </c>
      <c r="X204" s="350">
        <f t="shared" si="113"/>
        <v>0</v>
      </c>
      <c r="Y204" s="350">
        <f t="shared" si="113"/>
        <v>0</v>
      </c>
      <c r="Z204" s="350">
        <f t="shared" si="113"/>
        <v>0</v>
      </c>
      <c r="AA204" s="350">
        <f t="shared" si="113"/>
        <v>0</v>
      </c>
      <c r="AB204" s="350">
        <f t="shared" si="113"/>
        <v>0</v>
      </c>
      <c r="AC204" s="350">
        <f t="shared" si="113"/>
        <v>0</v>
      </c>
      <c r="AD204" s="350">
        <f t="shared" si="113"/>
        <v>0</v>
      </c>
      <c r="AE204" s="350">
        <f t="shared" si="113"/>
        <v>0</v>
      </c>
      <c r="AF204" s="350">
        <f t="shared" si="113"/>
        <v>0</v>
      </c>
      <c r="AG204" s="350">
        <f t="shared" si="113"/>
        <v>0</v>
      </c>
      <c r="AH204" s="350">
        <f t="shared" si="113"/>
        <v>0</v>
      </c>
      <c r="AI204" s="350">
        <f t="shared" si="113"/>
        <v>0</v>
      </c>
      <c r="AJ204" s="350">
        <f t="shared" si="113"/>
        <v>0</v>
      </c>
      <c r="AK204" s="350">
        <f t="shared" si="113"/>
        <v>0</v>
      </c>
      <c r="AL204" s="350">
        <f t="shared" si="113"/>
        <v>0</v>
      </c>
      <c r="AM204" s="350">
        <f t="shared" si="113"/>
        <v>0</v>
      </c>
      <c r="AN204" s="350">
        <f t="shared" si="113"/>
        <v>0</v>
      </c>
      <c r="AO204" s="350">
        <f t="shared" si="113"/>
        <v>0</v>
      </c>
      <c r="AP204" s="350">
        <f t="shared" si="113"/>
        <v>0</v>
      </c>
      <c r="AQ204" s="350">
        <f t="shared" si="113"/>
        <v>0</v>
      </c>
      <c r="AR204" s="350">
        <f t="shared" si="113"/>
        <v>0</v>
      </c>
      <c r="AS204" s="350">
        <f t="shared" si="113"/>
        <v>0</v>
      </c>
      <c r="AT204" s="350">
        <f t="shared" si="113"/>
        <v>0</v>
      </c>
      <c r="AU204" s="350">
        <f t="shared" si="113"/>
        <v>0</v>
      </c>
      <c r="AV204" s="350">
        <f t="shared" si="113"/>
        <v>0</v>
      </c>
      <c r="AW204" s="350">
        <f t="shared" si="113"/>
        <v>0</v>
      </c>
      <c r="AX204" s="350">
        <f t="shared" si="113"/>
        <v>0</v>
      </c>
      <c r="AY204" s="350">
        <f t="shared" si="113"/>
        <v>0</v>
      </c>
      <c r="AZ204" s="350">
        <f t="shared" si="113"/>
        <v>0</v>
      </c>
      <c r="BA204" s="351">
        <f t="shared" si="113"/>
        <v>0</v>
      </c>
    </row>
    <row r="205" spans="1:53" s="246" customFormat="1" outlineLevel="1">
      <c r="A205" s="244"/>
      <c r="B205" s="244"/>
      <c r="C205" s="28"/>
      <c r="D205" s="28"/>
      <c r="E205" s="352" t="s">
        <v>461</v>
      </c>
      <c r="F205" s="350">
        <f>+F26</f>
        <v>529815.71</v>
      </c>
      <c r="G205" s="350">
        <f>+G26</f>
        <v>508206.82</v>
      </c>
      <c r="H205" s="350">
        <f>+H26</f>
        <v>477423.92</v>
      </c>
      <c r="I205" s="350">
        <f>+I26</f>
        <v>479123.18</v>
      </c>
      <c r="J205" s="350">
        <f t="shared" ref="J205:BA205" si="114">+J26</f>
        <v>430321.95</v>
      </c>
      <c r="K205" s="350">
        <f t="shared" si="114"/>
        <v>409548.06</v>
      </c>
      <c r="L205" s="350">
        <f t="shared" si="114"/>
        <v>320000</v>
      </c>
      <c r="M205" s="350">
        <f t="shared" si="114"/>
        <v>281727.40000000002</v>
      </c>
      <c r="N205" s="350">
        <f t="shared" si="114"/>
        <v>350000</v>
      </c>
      <c r="O205" s="350">
        <f t="shared" si="114"/>
        <v>566288</v>
      </c>
      <c r="P205" s="350">
        <f t="shared" si="114"/>
        <v>503844</v>
      </c>
      <c r="Q205" s="350">
        <f t="shared" si="114"/>
        <v>441400</v>
      </c>
      <c r="R205" s="350">
        <f t="shared" si="114"/>
        <v>377600</v>
      </c>
      <c r="S205" s="350">
        <f t="shared" si="114"/>
        <v>313800</v>
      </c>
      <c r="T205" s="350">
        <f t="shared" si="114"/>
        <v>257975</v>
      </c>
      <c r="U205" s="350">
        <f t="shared" si="114"/>
        <v>214125</v>
      </c>
      <c r="V205" s="350">
        <f t="shared" si="114"/>
        <v>176275</v>
      </c>
      <c r="W205" s="350">
        <f t="shared" si="114"/>
        <v>140425</v>
      </c>
      <c r="X205" s="350">
        <f t="shared" si="114"/>
        <v>91875</v>
      </c>
      <c r="Y205" s="350">
        <f t="shared" si="114"/>
        <v>30625</v>
      </c>
      <c r="Z205" s="350">
        <f t="shared" si="114"/>
        <v>0</v>
      </c>
      <c r="AA205" s="350">
        <f t="shared" si="114"/>
        <v>0</v>
      </c>
      <c r="AB205" s="350">
        <f t="shared" si="114"/>
        <v>0</v>
      </c>
      <c r="AC205" s="350">
        <f t="shared" si="114"/>
        <v>0</v>
      </c>
      <c r="AD205" s="350">
        <f t="shared" si="114"/>
        <v>0</v>
      </c>
      <c r="AE205" s="350">
        <f t="shared" si="114"/>
        <v>0</v>
      </c>
      <c r="AF205" s="350">
        <f t="shared" si="114"/>
        <v>0</v>
      </c>
      <c r="AG205" s="350">
        <f t="shared" si="114"/>
        <v>0</v>
      </c>
      <c r="AH205" s="350">
        <f t="shared" si="114"/>
        <v>0</v>
      </c>
      <c r="AI205" s="350">
        <f t="shared" si="114"/>
        <v>0</v>
      </c>
      <c r="AJ205" s="350">
        <f t="shared" si="114"/>
        <v>0</v>
      </c>
      <c r="AK205" s="350">
        <f t="shared" si="114"/>
        <v>0</v>
      </c>
      <c r="AL205" s="350">
        <f t="shared" si="114"/>
        <v>0</v>
      </c>
      <c r="AM205" s="350">
        <f t="shared" si="114"/>
        <v>0</v>
      </c>
      <c r="AN205" s="350">
        <f t="shared" si="114"/>
        <v>0</v>
      </c>
      <c r="AO205" s="350">
        <f t="shared" si="114"/>
        <v>0</v>
      </c>
      <c r="AP205" s="350">
        <f t="shared" si="114"/>
        <v>0</v>
      </c>
      <c r="AQ205" s="350">
        <f t="shared" si="114"/>
        <v>0</v>
      </c>
      <c r="AR205" s="350">
        <f t="shared" si="114"/>
        <v>0</v>
      </c>
      <c r="AS205" s="350">
        <f t="shared" si="114"/>
        <v>0</v>
      </c>
      <c r="AT205" s="350">
        <f t="shared" si="114"/>
        <v>0</v>
      </c>
      <c r="AU205" s="350">
        <f t="shared" si="114"/>
        <v>0</v>
      </c>
      <c r="AV205" s="350">
        <f t="shared" si="114"/>
        <v>0</v>
      </c>
      <c r="AW205" s="350">
        <f t="shared" si="114"/>
        <v>0</v>
      </c>
      <c r="AX205" s="350">
        <f t="shared" si="114"/>
        <v>0</v>
      </c>
      <c r="AY205" s="350">
        <f t="shared" si="114"/>
        <v>0</v>
      </c>
      <c r="AZ205" s="350">
        <f t="shared" si="114"/>
        <v>0</v>
      </c>
      <c r="BA205" s="351">
        <f t="shared" si="114"/>
        <v>0</v>
      </c>
    </row>
    <row r="206" spans="1:53" s="246" customFormat="1" outlineLevel="1">
      <c r="A206" s="244"/>
      <c r="B206" s="244"/>
      <c r="C206" s="28"/>
      <c r="D206" s="28"/>
      <c r="E206" s="354" t="s">
        <v>463</v>
      </c>
      <c r="F206" s="355">
        <f>+ROUND(F201-F202-F203-F204-F205,2)</f>
        <v>6022160.6500000004</v>
      </c>
      <c r="G206" s="355">
        <f>+ROUND(G201-G202-G203-G204-G205,2)</f>
        <v>10410856.5</v>
      </c>
      <c r="H206" s="355">
        <f>+ROUND(H201-H202-H203-H204-H205,2)</f>
        <v>7791231.1299999999</v>
      </c>
      <c r="I206" s="355">
        <f>+ROUND(I201-I202-I203-I204-I205,2)</f>
        <v>13475419</v>
      </c>
      <c r="J206" s="355">
        <f>+ROUND(J201-J202-J203-J204-J205,2)</f>
        <v>21008014.960000001</v>
      </c>
      <c r="K206" s="355">
        <f t="shared" ref="K206:BA206" si="115">+ROUND(K201-K202-K203-K204-K205,2)</f>
        <v>26094663.120000001</v>
      </c>
      <c r="L206" s="355">
        <f t="shared" si="115"/>
        <v>16309988</v>
      </c>
      <c r="M206" s="355">
        <f t="shared" si="115"/>
        <v>28692200.16</v>
      </c>
      <c r="N206" s="355">
        <f t="shared" si="115"/>
        <v>20034888</v>
      </c>
      <c r="O206" s="355">
        <f t="shared" si="115"/>
        <v>22154854</v>
      </c>
      <c r="P206" s="355">
        <f t="shared" si="115"/>
        <v>1030284</v>
      </c>
      <c r="Q206" s="355">
        <f t="shared" si="115"/>
        <v>1613533</v>
      </c>
      <c r="R206" s="355">
        <f t="shared" si="115"/>
        <v>2316905</v>
      </c>
      <c r="S206" s="355">
        <f t="shared" si="115"/>
        <v>2998543</v>
      </c>
      <c r="T206" s="355">
        <f t="shared" si="115"/>
        <v>4146159</v>
      </c>
      <c r="U206" s="355">
        <f t="shared" si="115"/>
        <v>4690393</v>
      </c>
      <c r="V206" s="355">
        <f t="shared" si="115"/>
        <v>5126926</v>
      </c>
      <c r="W206" s="355">
        <f t="shared" si="115"/>
        <v>5514120</v>
      </c>
      <c r="X206" s="355">
        <f t="shared" si="115"/>
        <v>5111826</v>
      </c>
      <c r="Y206" s="355">
        <f t="shared" si="115"/>
        <v>5415107</v>
      </c>
      <c r="Z206" s="355">
        <f t="shared" si="115"/>
        <v>0</v>
      </c>
      <c r="AA206" s="355">
        <f t="shared" si="115"/>
        <v>0</v>
      </c>
      <c r="AB206" s="355">
        <f t="shared" si="115"/>
        <v>0</v>
      </c>
      <c r="AC206" s="355">
        <f t="shared" si="115"/>
        <v>0</v>
      </c>
      <c r="AD206" s="355">
        <f t="shared" si="115"/>
        <v>0</v>
      </c>
      <c r="AE206" s="355">
        <f t="shared" si="115"/>
        <v>0</v>
      </c>
      <c r="AF206" s="355">
        <f t="shared" si="115"/>
        <v>0</v>
      </c>
      <c r="AG206" s="355">
        <f t="shared" si="115"/>
        <v>0</v>
      </c>
      <c r="AH206" s="355">
        <f t="shared" si="115"/>
        <v>0</v>
      </c>
      <c r="AI206" s="355">
        <f t="shared" si="115"/>
        <v>0</v>
      </c>
      <c r="AJ206" s="355">
        <f t="shared" si="115"/>
        <v>0</v>
      </c>
      <c r="AK206" s="355">
        <f t="shared" si="115"/>
        <v>0</v>
      </c>
      <c r="AL206" s="355">
        <f t="shared" si="115"/>
        <v>0</v>
      </c>
      <c r="AM206" s="355">
        <f t="shared" si="115"/>
        <v>0</v>
      </c>
      <c r="AN206" s="355">
        <f t="shared" si="115"/>
        <v>0</v>
      </c>
      <c r="AO206" s="355">
        <f t="shared" si="115"/>
        <v>0</v>
      </c>
      <c r="AP206" s="355">
        <f t="shared" si="115"/>
        <v>0</v>
      </c>
      <c r="AQ206" s="355">
        <f t="shared" si="115"/>
        <v>0</v>
      </c>
      <c r="AR206" s="355">
        <f t="shared" si="115"/>
        <v>0</v>
      </c>
      <c r="AS206" s="355">
        <f t="shared" si="115"/>
        <v>0</v>
      </c>
      <c r="AT206" s="355">
        <f t="shared" si="115"/>
        <v>0</v>
      </c>
      <c r="AU206" s="355">
        <f t="shared" si="115"/>
        <v>0</v>
      </c>
      <c r="AV206" s="355">
        <f t="shared" si="115"/>
        <v>0</v>
      </c>
      <c r="AW206" s="355">
        <f t="shared" si="115"/>
        <v>0</v>
      </c>
      <c r="AX206" s="355">
        <f t="shared" si="115"/>
        <v>0</v>
      </c>
      <c r="AY206" s="355">
        <f t="shared" si="115"/>
        <v>0</v>
      </c>
      <c r="AZ206" s="355">
        <f t="shared" si="115"/>
        <v>0</v>
      </c>
      <c r="BA206" s="356">
        <f t="shared" si="115"/>
        <v>0</v>
      </c>
    </row>
    <row r="207" spans="1:53" s="246" customFormat="1" outlineLevel="1">
      <c r="A207" s="244"/>
      <c r="B207" s="244"/>
      <c r="C207" s="28"/>
      <c r="D207" s="28"/>
      <c r="E207" s="349" t="s">
        <v>466</v>
      </c>
      <c r="F207" s="357">
        <f>+F20</f>
        <v>3604699.15</v>
      </c>
      <c r="G207" s="357">
        <f>+G20</f>
        <v>5978874.0199999996</v>
      </c>
      <c r="H207" s="357">
        <f>+H20</f>
        <v>4170384.96</v>
      </c>
      <c r="I207" s="357">
        <f>+I20</f>
        <v>7938380.8300000001</v>
      </c>
      <c r="J207" s="357">
        <f t="shared" ref="J207:BA207" si="116">+J20</f>
        <v>13399169.75</v>
      </c>
      <c r="K207" s="357">
        <f t="shared" si="116"/>
        <v>14447305.16</v>
      </c>
      <c r="L207" s="357">
        <f t="shared" si="116"/>
        <v>5517814</v>
      </c>
      <c r="M207" s="357">
        <f t="shared" si="116"/>
        <v>7780777.4199999999</v>
      </c>
      <c r="N207" s="357">
        <f t="shared" si="116"/>
        <v>10785085</v>
      </c>
      <c r="O207" s="357">
        <f t="shared" si="116"/>
        <v>22250000</v>
      </c>
      <c r="P207" s="357">
        <f t="shared" si="116"/>
        <v>500000</v>
      </c>
      <c r="Q207" s="357">
        <f t="shared" si="116"/>
        <v>500000</v>
      </c>
      <c r="R207" s="357">
        <f t="shared" si="116"/>
        <v>500000</v>
      </c>
      <c r="S207" s="357">
        <f t="shared" si="116"/>
        <v>500000</v>
      </c>
      <c r="T207" s="357">
        <f t="shared" si="116"/>
        <v>500000</v>
      </c>
      <c r="U207" s="357">
        <f t="shared" si="116"/>
        <v>500000</v>
      </c>
      <c r="V207" s="357">
        <f t="shared" si="116"/>
        <v>500000</v>
      </c>
      <c r="W207" s="357">
        <f t="shared" si="116"/>
        <v>500000</v>
      </c>
      <c r="X207" s="357">
        <f t="shared" si="116"/>
        <v>0</v>
      </c>
      <c r="Y207" s="357">
        <f t="shared" si="116"/>
        <v>0</v>
      </c>
      <c r="Z207" s="357">
        <f t="shared" si="116"/>
        <v>0</v>
      </c>
      <c r="AA207" s="357">
        <f t="shared" si="116"/>
        <v>0</v>
      </c>
      <c r="AB207" s="357">
        <f t="shared" si="116"/>
        <v>0</v>
      </c>
      <c r="AC207" s="357">
        <f t="shared" si="116"/>
        <v>0</v>
      </c>
      <c r="AD207" s="357">
        <f t="shared" si="116"/>
        <v>0</v>
      </c>
      <c r="AE207" s="357">
        <f t="shared" si="116"/>
        <v>0</v>
      </c>
      <c r="AF207" s="357">
        <f t="shared" si="116"/>
        <v>0</v>
      </c>
      <c r="AG207" s="357">
        <f t="shared" si="116"/>
        <v>0</v>
      </c>
      <c r="AH207" s="357">
        <f t="shared" si="116"/>
        <v>0</v>
      </c>
      <c r="AI207" s="357">
        <f t="shared" si="116"/>
        <v>0</v>
      </c>
      <c r="AJ207" s="357">
        <f t="shared" si="116"/>
        <v>0</v>
      </c>
      <c r="AK207" s="357">
        <f t="shared" si="116"/>
        <v>0</v>
      </c>
      <c r="AL207" s="357">
        <f t="shared" si="116"/>
        <v>0</v>
      </c>
      <c r="AM207" s="357">
        <f t="shared" si="116"/>
        <v>0</v>
      </c>
      <c r="AN207" s="357">
        <f t="shared" si="116"/>
        <v>0</v>
      </c>
      <c r="AO207" s="357">
        <f t="shared" si="116"/>
        <v>0</v>
      </c>
      <c r="AP207" s="357">
        <f t="shared" si="116"/>
        <v>0</v>
      </c>
      <c r="AQ207" s="357">
        <f t="shared" si="116"/>
        <v>0</v>
      </c>
      <c r="AR207" s="357">
        <f t="shared" si="116"/>
        <v>0</v>
      </c>
      <c r="AS207" s="357">
        <f t="shared" si="116"/>
        <v>0</v>
      </c>
      <c r="AT207" s="357">
        <f t="shared" si="116"/>
        <v>0</v>
      </c>
      <c r="AU207" s="357">
        <f t="shared" si="116"/>
        <v>0</v>
      </c>
      <c r="AV207" s="357">
        <f t="shared" si="116"/>
        <v>0</v>
      </c>
      <c r="AW207" s="357">
        <f t="shared" si="116"/>
        <v>0</v>
      </c>
      <c r="AX207" s="357">
        <f t="shared" si="116"/>
        <v>0</v>
      </c>
      <c r="AY207" s="357">
        <f t="shared" si="116"/>
        <v>0</v>
      </c>
      <c r="AZ207" s="357">
        <f t="shared" si="116"/>
        <v>0</v>
      </c>
      <c r="BA207" s="358">
        <f t="shared" si="116"/>
        <v>0</v>
      </c>
    </row>
    <row r="208" spans="1:53" s="246" customFormat="1" outlineLevel="1">
      <c r="A208" s="244"/>
      <c r="B208" s="244"/>
      <c r="C208" s="28"/>
      <c r="D208" s="28"/>
      <c r="E208" s="352" t="s">
        <v>570</v>
      </c>
      <c r="F208" s="350">
        <f>+F30-(+F102-F103)</f>
        <v>6770370.9699999997</v>
      </c>
      <c r="G208" s="350">
        <f>+G30-(+G102-G103)</f>
        <v>8428567.9800000004</v>
      </c>
      <c r="H208" s="350">
        <f>+H30-(+H102-H103)</f>
        <v>6638090.5300000003</v>
      </c>
      <c r="I208" s="350">
        <f>+I30-(+I102-I103)</f>
        <v>12699810.439999999</v>
      </c>
      <c r="J208" s="350">
        <f t="shared" ref="J208:BA208" si="117">+J30-(+J102-J103)</f>
        <v>14101467.33</v>
      </c>
      <c r="K208" s="350">
        <f t="shared" si="117"/>
        <v>15388364.119999999</v>
      </c>
      <c r="L208" s="350">
        <f t="shared" si="117"/>
        <v>18219988</v>
      </c>
      <c r="M208" s="350">
        <f t="shared" si="117"/>
        <v>15466635.970000001</v>
      </c>
      <c r="N208" s="350">
        <f t="shared" si="117"/>
        <v>26534888</v>
      </c>
      <c r="O208" s="350">
        <f t="shared" si="117"/>
        <v>23154854</v>
      </c>
      <c r="P208" s="350">
        <f t="shared" si="117"/>
        <v>1030284</v>
      </c>
      <c r="Q208" s="350">
        <f t="shared" si="117"/>
        <v>1613533</v>
      </c>
      <c r="R208" s="350">
        <f t="shared" si="117"/>
        <v>2316905</v>
      </c>
      <c r="S208" s="350">
        <f t="shared" si="117"/>
        <v>2998543</v>
      </c>
      <c r="T208" s="350">
        <f t="shared" si="117"/>
        <v>4146159</v>
      </c>
      <c r="U208" s="350">
        <f t="shared" si="117"/>
        <v>4690393</v>
      </c>
      <c r="V208" s="350">
        <f t="shared" si="117"/>
        <v>5126926</v>
      </c>
      <c r="W208" s="350">
        <f t="shared" si="117"/>
        <v>5514120</v>
      </c>
      <c r="X208" s="350">
        <f t="shared" si="117"/>
        <v>5111826</v>
      </c>
      <c r="Y208" s="350">
        <f t="shared" si="117"/>
        <v>5415107</v>
      </c>
      <c r="Z208" s="350">
        <f t="shared" si="117"/>
        <v>0</v>
      </c>
      <c r="AA208" s="350">
        <f t="shared" si="117"/>
        <v>0</v>
      </c>
      <c r="AB208" s="350">
        <f t="shared" si="117"/>
        <v>0</v>
      </c>
      <c r="AC208" s="350">
        <f t="shared" si="117"/>
        <v>0</v>
      </c>
      <c r="AD208" s="350">
        <f t="shared" si="117"/>
        <v>0</v>
      </c>
      <c r="AE208" s="350">
        <f t="shared" si="117"/>
        <v>0</v>
      </c>
      <c r="AF208" s="350">
        <f t="shared" si="117"/>
        <v>0</v>
      </c>
      <c r="AG208" s="350">
        <f t="shared" si="117"/>
        <v>0</v>
      </c>
      <c r="AH208" s="350">
        <f t="shared" si="117"/>
        <v>0</v>
      </c>
      <c r="AI208" s="350">
        <f t="shared" si="117"/>
        <v>0</v>
      </c>
      <c r="AJ208" s="350">
        <f t="shared" si="117"/>
        <v>0</v>
      </c>
      <c r="AK208" s="350">
        <f t="shared" si="117"/>
        <v>0</v>
      </c>
      <c r="AL208" s="350">
        <f t="shared" si="117"/>
        <v>0</v>
      </c>
      <c r="AM208" s="350">
        <f t="shared" si="117"/>
        <v>0</v>
      </c>
      <c r="AN208" s="350">
        <f t="shared" si="117"/>
        <v>0</v>
      </c>
      <c r="AO208" s="350">
        <f t="shared" si="117"/>
        <v>0</v>
      </c>
      <c r="AP208" s="350">
        <f t="shared" si="117"/>
        <v>0</v>
      </c>
      <c r="AQ208" s="350">
        <f t="shared" si="117"/>
        <v>0</v>
      </c>
      <c r="AR208" s="350">
        <f t="shared" si="117"/>
        <v>0</v>
      </c>
      <c r="AS208" s="350">
        <f t="shared" si="117"/>
        <v>0</v>
      </c>
      <c r="AT208" s="350">
        <f t="shared" si="117"/>
        <v>0</v>
      </c>
      <c r="AU208" s="350">
        <f t="shared" si="117"/>
        <v>0</v>
      </c>
      <c r="AV208" s="350">
        <f t="shared" si="117"/>
        <v>0</v>
      </c>
      <c r="AW208" s="350">
        <f t="shared" si="117"/>
        <v>0</v>
      </c>
      <c r="AX208" s="350">
        <f t="shared" si="117"/>
        <v>0</v>
      </c>
      <c r="AY208" s="350">
        <f t="shared" si="117"/>
        <v>0</v>
      </c>
      <c r="AZ208" s="350">
        <f t="shared" si="117"/>
        <v>0</v>
      </c>
      <c r="BA208" s="351">
        <f t="shared" si="117"/>
        <v>0</v>
      </c>
    </row>
    <row r="209" spans="1:53" s="246" customFormat="1" outlineLevel="1">
      <c r="A209" s="244"/>
      <c r="B209" s="244"/>
      <c r="C209" s="28"/>
      <c r="D209" s="28"/>
      <c r="E209" s="352" t="s">
        <v>457</v>
      </c>
      <c r="F209" s="350">
        <f>+F56</f>
        <v>0</v>
      </c>
      <c r="G209" s="350">
        <f>+G56</f>
        <v>0</v>
      </c>
      <c r="H209" s="350">
        <f>+H56</f>
        <v>0</v>
      </c>
      <c r="I209" s="350">
        <f>+I56</f>
        <v>0</v>
      </c>
      <c r="J209" s="350">
        <f t="shared" ref="J209:BA209" si="118">+J56</f>
        <v>0</v>
      </c>
      <c r="K209" s="350">
        <f t="shared" si="118"/>
        <v>0</v>
      </c>
      <c r="L209" s="350">
        <f t="shared" si="118"/>
        <v>90000</v>
      </c>
      <c r="M209" s="350">
        <f t="shared" si="118"/>
        <v>312000</v>
      </c>
      <c r="N209" s="350">
        <f t="shared" si="118"/>
        <v>0</v>
      </c>
      <c r="O209" s="350">
        <f t="shared" si="118"/>
        <v>0</v>
      </c>
      <c r="P209" s="350">
        <f t="shared" si="118"/>
        <v>0</v>
      </c>
      <c r="Q209" s="350">
        <f t="shared" si="118"/>
        <v>0</v>
      </c>
      <c r="R209" s="350">
        <f t="shared" si="118"/>
        <v>0</v>
      </c>
      <c r="S209" s="350">
        <f t="shared" si="118"/>
        <v>0</v>
      </c>
      <c r="T209" s="350">
        <f t="shared" si="118"/>
        <v>0</v>
      </c>
      <c r="U209" s="350">
        <f t="shared" si="118"/>
        <v>0</v>
      </c>
      <c r="V209" s="350">
        <f t="shared" si="118"/>
        <v>0</v>
      </c>
      <c r="W209" s="350">
        <f t="shared" si="118"/>
        <v>0</v>
      </c>
      <c r="X209" s="350">
        <f t="shared" si="118"/>
        <v>0</v>
      </c>
      <c r="Y209" s="350">
        <f t="shared" si="118"/>
        <v>0</v>
      </c>
      <c r="Z209" s="350">
        <f t="shared" si="118"/>
        <v>0</v>
      </c>
      <c r="AA209" s="350">
        <f t="shared" si="118"/>
        <v>0</v>
      </c>
      <c r="AB209" s="350">
        <f t="shared" si="118"/>
        <v>0</v>
      </c>
      <c r="AC209" s="350">
        <f t="shared" si="118"/>
        <v>0</v>
      </c>
      <c r="AD209" s="350">
        <f t="shared" si="118"/>
        <v>0</v>
      </c>
      <c r="AE209" s="350">
        <f t="shared" si="118"/>
        <v>0</v>
      </c>
      <c r="AF209" s="350">
        <f t="shared" si="118"/>
        <v>0</v>
      </c>
      <c r="AG209" s="350">
        <f t="shared" si="118"/>
        <v>0</v>
      </c>
      <c r="AH209" s="350">
        <f t="shared" si="118"/>
        <v>0</v>
      </c>
      <c r="AI209" s="350">
        <f t="shared" si="118"/>
        <v>0</v>
      </c>
      <c r="AJ209" s="350">
        <f t="shared" si="118"/>
        <v>0</v>
      </c>
      <c r="AK209" s="350">
        <f t="shared" si="118"/>
        <v>0</v>
      </c>
      <c r="AL209" s="350">
        <f t="shared" si="118"/>
        <v>0</v>
      </c>
      <c r="AM209" s="350">
        <f t="shared" si="118"/>
        <v>0</v>
      </c>
      <c r="AN209" s="350">
        <f t="shared" si="118"/>
        <v>0</v>
      </c>
      <c r="AO209" s="350">
        <f t="shared" si="118"/>
        <v>0</v>
      </c>
      <c r="AP209" s="350">
        <f t="shared" si="118"/>
        <v>0</v>
      </c>
      <c r="AQ209" s="350">
        <f t="shared" si="118"/>
        <v>0</v>
      </c>
      <c r="AR209" s="350">
        <f t="shared" si="118"/>
        <v>0</v>
      </c>
      <c r="AS209" s="350">
        <f t="shared" si="118"/>
        <v>0</v>
      </c>
      <c r="AT209" s="350">
        <f t="shared" si="118"/>
        <v>0</v>
      </c>
      <c r="AU209" s="350">
        <f t="shared" si="118"/>
        <v>0</v>
      </c>
      <c r="AV209" s="350">
        <f t="shared" si="118"/>
        <v>0</v>
      </c>
      <c r="AW209" s="350">
        <f t="shared" si="118"/>
        <v>0</v>
      </c>
      <c r="AX209" s="350">
        <f t="shared" si="118"/>
        <v>0</v>
      </c>
      <c r="AY209" s="350">
        <f t="shared" si="118"/>
        <v>0</v>
      </c>
      <c r="AZ209" s="350">
        <f t="shared" si="118"/>
        <v>0</v>
      </c>
      <c r="BA209" s="351">
        <f t="shared" si="118"/>
        <v>0</v>
      </c>
    </row>
    <row r="210" spans="1:53" s="246" customFormat="1" outlineLevel="1">
      <c r="A210" s="244"/>
      <c r="B210" s="244"/>
      <c r="C210" s="28"/>
      <c r="D210" s="28"/>
      <c r="E210" s="354" t="s">
        <v>458</v>
      </c>
      <c r="F210" s="355">
        <f>+ROUND(F206-F208-F209,2)</f>
        <v>-748210.32</v>
      </c>
      <c r="G210" s="355">
        <f>+ROUND(G206-G208-G209,2)</f>
        <v>1982288.52</v>
      </c>
      <c r="H210" s="355">
        <f>+ROUND(H206-H208-H209,2)</f>
        <v>1153140.6000000001</v>
      </c>
      <c r="I210" s="355">
        <f>+ROUND(I206-I208-I209,2)</f>
        <v>775608.56</v>
      </c>
      <c r="J210" s="355">
        <f t="shared" ref="J210:BA210" si="119">+ROUND(J206-J208-J209,2)</f>
        <v>6906547.6299999999</v>
      </c>
      <c r="K210" s="355">
        <f t="shared" si="119"/>
        <v>10706299</v>
      </c>
      <c r="L210" s="355">
        <f t="shared" si="119"/>
        <v>-2000000</v>
      </c>
      <c r="M210" s="355">
        <f t="shared" si="119"/>
        <v>12913564.189999999</v>
      </c>
      <c r="N210" s="355">
        <f t="shared" si="119"/>
        <v>-6500000</v>
      </c>
      <c r="O210" s="355">
        <f t="shared" si="119"/>
        <v>-1000000</v>
      </c>
      <c r="P210" s="355">
        <f t="shared" si="119"/>
        <v>0</v>
      </c>
      <c r="Q210" s="355">
        <f t="shared" si="119"/>
        <v>0</v>
      </c>
      <c r="R210" s="355">
        <f t="shared" si="119"/>
        <v>0</v>
      </c>
      <c r="S210" s="355">
        <f t="shared" si="119"/>
        <v>0</v>
      </c>
      <c r="T210" s="355">
        <f t="shared" si="119"/>
        <v>0</v>
      </c>
      <c r="U210" s="355">
        <f t="shared" si="119"/>
        <v>0</v>
      </c>
      <c r="V210" s="355">
        <f t="shared" si="119"/>
        <v>0</v>
      </c>
      <c r="W210" s="355">
        <f t="shared" si="119"/>
        <v>0</v>
      </c>
      <c r="X210" s="355">
        <f t="shared" si="119"/>
        <v>0</v>
      </c>
      <c r="Y210" s="355">
        <f t="shared" si="119"/>
        <v>0</v>
      </c>
      <c r="Z210" s="355">
        <f t="shared" si="119"/>
        <v>0</v>
      </c>
      <c r="AA210" s="355">
        <f t="shared" si="119"/>
        <v>0</v>
      </c>
      <c r="AB210" s="355">
        <f t="shared" si="119"/>
        <v>0</v>
      </c>
      <c r="AC210" s="355">
        <f t="shared" si="119"/>
        <v>0</v>
      </c>
      <c r="AD210" s="355">
        <f t="shared" si="119"/>
        <v>0</v>
      </c>
      <c r="AE210" s="355">
        <f t="shared" si="119"/>
        <v>0</v>
      </c>
      <c r="AF210" s="355">
        <f t="shared" si="119"/>
        <v>0</v>
      </c>
      <c r="AG210" s="355">
        <f t="shared" si="119"/>
        <v>0</v>
      </c>
      <c r="AH210" s="355">
        <f t="shared" si="119"/>
        <v>0</v>
      </c>
      <c r="AI210" s="355">
        <f t="shared" si="119"/>
        <v>0</v>
      </c>
      <c r="AJ210" s="355">
        <f t="shared" si="119"/>
        <v>0</v>
      </c>
      <c r="AK210" s="355">
        <f t="shared" si="119"/>
        <v>0</v>
      </c>
      <c r="AL210" s="355">
        <f t="shared" si="119"/>
        <v>0</v>
      </c>
      <c r="AM210" s="355">
        <f t="shared" si="119"/>
        <v>0</v>
      </c>
      <c r="AN210" s="355">
        <f t="shared" si="119"/>
        <v>0</v>
      </c>
      <c r="AO210" s="355">
        <f t="shared" si="119"/>
        <v>0</v>
      </c>
      <c r="AP210" s="355">
        <f t="shared" si="119"/>
        <v>0</v>
      </c>
      <c r="AQ210" s="355">
        <f t="shared" si="119"/>
        <v>0</v>
      </c>
      <c r="AR210" s="355">
        <f t="shared" si="119"/>
        <v>0</v>
      </c>
      <c r="AS210" s="355">
        <f t="shared" si="119"/>
        <v>0</v>
      </c>
      <c r="AT210" s="355">
        <f t="shared" si="119"/>
        <v>0</v>
      </c>
      <c r="AU210" s="355">
        <f t="shared" si="119"/>
        <v>0</v>
      </c>
      <c r="AV210" s="355">
        <f t="shared" si="119"/>
        <v>0</v>
      </c>
      <c r="AW210" s="355">
        <f t="shared" si="119"/>
        <v>0</v>
      </c>
      <c r="AX210" s="355">
        <f t="shared" si="119"/>
        <v>0</v>
      </c>
      <c r="AY210" s="355">
        <f t="shared" si="119"/>
        <v>0</v>
      </c>
      <c r="AZ210" s="355">
        <f t="shared" si="119"/>
        <v>0</v>
      </c>
      <c r="BA210" s="356">
        <f t="shared" si="119"/>
        <v>0</v>
      </c>
    </row>
    <row r="211" spans="1:53" s="246" customFormat="1" outlineLevel="1">
      <c r="A211" s="244"/>
      <c r="B211" s="244"/>
      <c r="C211" s="28"/>
      <c r="D211" s="28"/>
      <c r="E211" s="353" t="s">
        <v>459</v>
      </c>
      <c r="F211" s="350">
        <f>+F36</f>
        <v>0</v>
      </c>
      <c r="G211" s="350">
        <f>+G36</f>
        <v>0</v>
      </c>
      <c r="H211" s="350">
        <f>+H36</f>
        <v>0</v>
      </c>
      <c r="I211" s="350">
        <f>+I36</f>
        <v>0</v>
      </c>
      <c r="J211" s="350">
        <f t="shared" ref="J211:BA211" si="120">+J36</f>
        <v>0</v>
      </c>
      <c r="K211" s="350">
        <f t="shared" si="120"/>
        <v>0</v>
      </c>
      <c r="L211" s="350">
        <f t="shared" si="120"/>
        <v>2000000</v>
      </c>
      <c r="M211" s="350">
        <f t="shared" si="120"/>
        <v>2000000</v>
      </c>
      <c r="N211" s="350">
        <f t="shared" si="120"/>
        <v>6500000</v>
      </c>
      <c r="O211" s="350">
        <f t="shared" si="120"/>
        <v>1000000</v>
      </c>
      <c r="P211" s="350">
        <f t="shared" si="120"/>
        <v>0</v>
      </c>
      <c r="Q211" s="350">
        <f t="shared" si="120"/>
        <v>0</v>
      </c>
      <c r="R211" s="350">
        <f t="shared" si="120"/>
        <v>0</v>
      </c>
      <c r="S211" s="350">
        <f t="shared" si="120"/>
        <v>0</v>
      </c>
      <c r="T211" s="350">
        <f t="shared" si="120"/>
        <v>0</v>
      </c>
      <c r="U211" s="350">
        <f t="shared" si="120"/>
        <v>0</v>
      </c>
      <c r="V211" s="350">
        <f t="shared" si="120"/>
        <v>0</v>
      </c>
      <c r="W211" s="350">
        <f t="shared" si="120"/>
        <v>0</v>
      </c>
      <c r="X211" s="350">
        <f t="shared" si="120"/>
        <v>0</v>
      </c>
      <c r="Y211" s="350">
        <f t="shared" si="120"/>
        <v>0</v>
      </c>
      <c r="Z211" s="350">
        <f t="shared" si="120"/>
        <v>0</v>
      </c>
      <c r="AA211" s="350">
        <f t="shared" si="120"/>
        <v>0</v>
      </c>
      <c r="AB211" s="350">
        <f t="shared" si="120"/>
        <v>0</v>
      </c>
      <c r="AC211" s="350">
        <f t="shared" si="120"/>
        <v>0</v>
      </c>
      <c r="AD211" s="350">
        <f t="shared" si="120"/>
        <v>0</v>
      </c>
      <c r="AE211" s="350">
        <f t="shared" si="120"/>
        <v>0</v>
      </c>
      <c r="AF211" s="350">
        <f t="shared" si="120"/>
        <v>0</v>
      </c>
      <c r="AG211" s="350">
        <f t="shared" si="120"/>
        <v>0</v>
      </c>
      <c r="AH211" s="350">
        <f t="shared" si="120"/>
        <v>0</v>
      </c>
      <c r="AI211" s="350">
        <f t="shared" si="120"/>
        <v>0</v>
      </c>
      <c r="AJ211" s="350">
        <f t="shared" si="120"/>
        <v>0</v>
      </c>
      <c r="AK211" s="350">
        <f t="shared" si="120"/>
        <v>0</v>
      </c>
      <c r="AL211" s="350">
        <f t="shared" si="120"/>
        <v>0</v>
      </c>
      <c r="AM211" s="350">
        <f t="shared" si="120"/>
        <v>0</v>
      </c>
      <c r="AN211" s="350">
        <f t="shared" si="120"/>
        <v>0</v>
      </c>
      <c r="AO211" s="350">
        <f t="shared" si="120"/>
        <v>0</v>
      </c>
      <c r="AP211" s="350">
        <f t="shared" si="120"/>
        <v>0</v>
      </c>
      <c r="AQ211" s="350">
        <f t="shared" si="120"/>
        <v>0</v>
      </c>
      <c r="AR211" s="350">
        <f t="shared" si="120"/>
        <v>0</v>
      </c>
      <c r="AS211" s="350">
        <f t="shared" si="120"/>
        <v>0</v>
      </c>
      <c r="AT211" s="350">
        <f t="shared" si="120"/>
        <v>0</v>
      </c>
      <c r="AU211" s="350">
        <f t="shared" si="120"/>
        <v>0</v>
      </c>
      <c r="AV211" s="350">
        <f t="shared" si="120"/>
        <v>0</v>
      </c>
      <c r="AW211" s="350">
        <f t="shared" si="120"/>
        <v>0</v>
      </c>
      <c r="AX211" s="350">
        <f t="shared" si="120"/>
        <v>0</v>
      </c>
      <c r="AY211" s="350">
        <f t="shared" si="120"/>
        <v>0</v>
      </c>
      <c r="AZ211" s="350">
        <f t="shared" si="120"/>
        <v>0</v>
      </c>
      <c r="BA211" s="351">
        <f t="shared" si="120"/>
        <v>0</v>
      </c>
    </row>
    <row r="212" spans="1:53" s="246" customFormat="1" outlineLevel="1">
      <c r="A212" s="244"/>
      <c r="B212" s="244"/>
      <c r="C212" s="28"/>
      <c r="D212" s="28"/>
      <c r="E212" s="359" t="s">
        <v>460</v>
      </c>
      <c r="F212" s="360">
        <f>+ROUND(F210+F211,2)</f>
        <v>-748210.32</v>
      </c>
      <c r="G212" s="360">
        <f>+ROUND(G210+G211,2)</f>
        <v>1982288.52</v>
      </c>
      <c r="H212" s="360">
        <f>+ROUND(H210+H211,2)</f>
        <v>1153140.6000000001</v>
      </c>
      <c r="I212" s="360">
        <f>+ROUND(I210+I211,2)</f>
        <v>775608.56</v>
      </c>
      <c r="J212" s="360">
        <f t="shared" ref="J212:BA212" si="121">+ROUND(J210+J211,2)</f>
        <v>6906547.6299999999</v>
      </c>
      <c r="K212" s="360">
        <f t="shared" si="121"/>
        <v>10706299</v>
      </c>
      <c r="L212" s="360">
        <f t="shared" si="121"/>
        <v>0</v>
      </c>
      <c r="M212" s="360">
        <f t="shared" si="121"/>
        <v>14913564.189999999</v>
      </c>
      <c r="N212" s="360">
        <f t="shared" si="121"/>
        <v>0</v>
      </c>
      <c r="O212" s="360">
        <f t="shared" si="121"/>
        <v>0</v>
      </c>
      <c r="P212" s="360">
        <f t="shared" si="121"/>
        <v>0</v>
      </c>
      <c r="Q212" s="360">
        <f t="shared" si="121"/>
        <v>0</v>
      </c>
      <c r="R212" s="360">
        <f t="shared" si="121"/>
        <v>0</v>
      </c>
      <c r="S212" s="360">
        <f t="shared" si="121"/>
        <v>0</v>
      </c>
      <c r="T212" s="360">
        <f t="shared" si="121"/>
        <v>0</v>
      </c>
      <c r="U212" s="360">
        <f t="shared" si="121"/>
        <v>0</v>
      </c>
      <c r="V212" s="360">
        <f t="shared" si="121"/>
        <v>0</v>
      </c>
      <c r="W212" s="360">
        <f t="shared" si="121"/>
        <v>0</v>
      </c>
      <c r="X212" s="360">
        <f t="shared" si="121"/>
        <v>0</v>
      </c>
      <c r="Y212" s="360">
        <f t="shared" si="121"/>
        <v>0</v>
      </c>
      <c r="Z212" s="360">
        <f t="shared" si="121"/>
        <v>0</v>
      </c>
      <c r="AA212" s="360">
        <f t="shared" si="121"/>
        <v>0</v>
      </c>
      <c r="AB212" s="360">
        <f t="shared" si="121"/>
        <v>0</v>
      </c>
      <c r="AC212" s="360">
        <f t="shared" si="121"/>
        <v>0</v>
      </c>
      <c r="AD212" s="360">
        <f t="shared" si="121"/>
        <v>0</v>
      </c>
      <c r="AE212" s="360">
        <f t="shared" si="121"/>
        <v>0</v>
      </c>
      <c r="AF212" s="360">
        <f t="shared" si="121"/>
        <v>0</v>
      </c>
      <c r="AG212" s="360">
        <f t="shared" si="121"/>
        <v>0</v>
      </c>
      <c r="AH212" s="360">
        <f t="shared" si="121"/>
        <v>0</v>
      </c>
      <c r="AI212" s="360">
        <f t="shared" si="121"/>
        <v>0</v>
      </c>
      <c r="AJ212" s="360">
        <f t="shared" si="121"/>
        <v>0</v>
      </c>
      <c r="AK212" s="360">
        <f t="shared" si="121"/>
        <v>0</v>
      </c>
      <c r="AL212" s="360">
        <f t="shared" si="121"/>
        <v>0</v>
      </c>
      <c r="AM212" s="360">
        <f t="shared" si="121"/>
        <v>0</v>
      </c>
      <c r="AN212" s="360">
        <f t="shared" si="121"/>
        <v>0</v>
      </c>
      <c r="AO212" s="360">
        <f t="shared" si="121"/>
        <v>0</v>
      </c>
      <c r="AP212" s="360">
        <f t="shared" si="121"/>
        <v>0</v>
      </c>
      <c r="AQ212" s="360">
        <f t="shared" si="121"/>
        <v>0</v>
      </c>
      <c r="AR212" s="360">
        <f t="shared" si="121"/>
        <v>0</v>
      </c>
      <c r="AS212" s="360">
        <f t="shared" si="121"/>
        <v>0</v>
      </c>
      <c r="AT212" s="360">
        <f t="shared" si="121"/>
        <v>0</v>
      </c>
      <c r="AU212" s="360">
        <f t="shared" si="121"/>
        <v>0</v>
      </c>
      <c r="AV212" s="360">
        <f t="shared" si="121"/>
        <v>0</v>
      </c>
      <c r="AW212" s="360">
        <f t="shared" si="121"/>
        <v>0</v>
      </c>
      <c r="AX212" s="360">
        <f t="shared" si="121"/>
        <v>0</v>
      </c>
      <c r="AY212" s="360">
        <f t="shared" si="121"/>
        <v>0</v>
      </c>
      <c r="AZ212" s="360">
        <f t="shared" si="121"/>
        <v>0</v>
      </c>
      <c r="BA212" s="361">
        <f t="shared" si="121"/>
        <v>0</v>
      </c>
    </row>
    <row r="213" spans="1:53" s="246" customFormat="1">
      <c r="A213" s="244"/>
      <c r="B213" s="244"/>
      <c r="C213" s="28"/>
      <c r="D213" s="28"/>
      <c r="E213" s="362"/>
      <c r="F213" s="362"/>
      <c r="G213" s="362"/>
      <c r="H213" s="362"/>
      <c r="I213" s="362"/>
      <c r="J213" s="363"/>
      <c r="K213" s="363"/>
      <c r="L213" s="363"/>
      <c r="M213" s="364"/>
      <c r="N213" s="494"/>
      <c r="O213" s="494"/>
      <c r="P213" s="494"/>
      <c r="Q213" s="494"/>
      <c r="R213" s="494"/>
      <c r="S213" s="494"/>
      <c r="T213" s="494"/>
      <c r="U213" s="494"/>
      <c r="V213" s="494"/>
      <c r="W213" s="494"/>
      <c r="X213" s="494"/>
      <c r="Y213" s="494"/>
      <c r="Z213" s="494"/>
      <c r="AA213" s="494"/>
      <c r="AB213" s="494"/>
      <c r="AC213" s="494"/>
      <c r="AD213" s="494"/>
      <c r="AE213" s="494"/>
      <c r="AF213" s="494"/>
      <c r="AG213" s="494"/>
      <c r="AH213" s="494"/>
      <c r="AI213" s="494"/>
      <c r="AJ213" s="494"/>
      <c r="AK213" s="494"/>
      <c r="AL213" s="494"/>
      <c r="AM213" s="494"/>
      <c r="AN213" s="494"/>
      <c r="AO213" s="494"/>
      <c r="AP213" s="494"/>
      <c r="AQ213" s="494"/>
      <c r="AR213" s="494"/>
      <c r="AS213" s="494"/>
      <c r="AT213" s="494"/>
      <c r="AU213" s="494"/>
      <c r="AV213" s="494"/>
      <c r="AW213" s="494"/>
      <c r="AX213" s="494"/>
      <c r="AY213" s="494"/>
      <c r="AZ213" s="494"/>
      <c r="BA213" s="494"/>
    </row>
    <row r="214" spans="1:53" s="246" customFormat="1" ht="15">
      <c r="A214" s="244"/>
      <c r="B214" s="244"/>
      <c r="C214" s="28"/>
      <c r="D214" s="28"/>
      <c r="E214" s="224" t="s">
        <v>602</v>
      </c>
      <c r="F214" s="224"/>
      <c r="G214" s="224"/>
      <c r="H214" s="224"/>
      <c r="I214" s="224"/>
      <c r="J214" s="363"/>
      <c r="K214" s="363"/>
      <c r="L214" s="363"/>
      <c r="M214" s="364"/>
      <c r="N214" s="495"/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G214" s="495"/>
      <c r="AH214" s="495"/>
      <c r="AI214" s="495"/>
      <c r="AJ214" s="495"/>
      <c r="AK214" s="495"/>
      <c r="AL214" s="495"/>
      <c r="AM214" s="495"/>
      <c r="AN214" s="495"/>
      <c r="AO214" s="495"/>
      <c r="AP214" s="495"/>
      <c r="AQ214" s="495"/>
      <c r="AR214" s="495"/>
      <c r="AS214" s="495"/>
      <c r="AT214" s="495"/>
      <c r="AU214" s="495"/>
      <c r="AV214" s="495"/>
      <c r="AW214" s="495"/>
      <c r="AX214" s="495"/>
      <c r="AY214" s="495"/>
      <c r="AZ214" s="495"/>
      <c r="BA214" s="495"/>
    </row>
    <row r="215" spans="1:53" s="246" customFormat="1" outlineLevel="1">
      <c r="A215" s="244"/>
      <c r="B215" s="244"/>
      <c r="C215" s="28"/>
      <c r="D215" s="28"/>
      <c r="E215" s="365" t="s">
        <v>603</v>
      </c>
      <c r="F215" s="147">
        <f t="shared" ref="F215:BA215" si="122">+F$9</f>
        <v>2015</v>
      </c>
      <c r="G215" s="147">
        <f t="shared" si="122"/>
        <v>2016</v>
      </c>
      <c r="H215" s="147">
        <f t="shared" si="122"/>
        <v>2017</v>
      </c>
      <c r="I215" s="147">
        <f t="shared" si="122"/>
        <v>2018</v>
      </c>
      <c r="J215" s="147">
        <f t="shared" si="122"/>
        <v>2019</v>
      </c>
      <c r="K215" s="148">
        <f t="shared" si="122"/>
        <v>2020</v>
      </c>
      <c r="L215" s="148">
        <f t="shared" si="122"/>
        <v>2021</v>
      </c>
      <c r="M215" s="149">
        <f t="shared" si="122"/>
        <v>2021</v>
      </c>
      <c r="N215" s="150">
        <f t="shared" si="122"/>
        <v>2022</v>
      </c>
      <c r="O215" s="151">
        <f t="shared" si="122"/>
        <v>2023</v>
      </c>
      <c r="P215" s="151">
        <f t="shared" si="122"/>
        <v>2024</v>
      </c>
      <c r="Q215" s="151">
        <f t="shared" si="122"/>
        <v>2025</v>
      </c>
      <c r="R215" s="151">
        <f t="shared" si="122"/>
        <v>2026</v>
      </c>
      <c r="S215" s="151">
        <f t="shared" si="122"/>
        <v>2027</v>
      </c>
      <c r="T215" s="151">
        <f t="shared" si="122"/>
        <v>2028</v>
      </c>
      <c r="U215" s="151">
        <f t="shared" si="122"/>
        <v>2029</v>
      </c>
      <c r="V215" s="151">
        <f t="shared" si="122"/>
        <v>2030</v>
      </c>
      <c r="W215" s="151">
        <f t="shared" si="122"/>
        <v>2031</v>
      </c>
      <c r="X215" s="151">
        <f t="shared" si="122"/>
        <v>2032</v>
      </c>
      <c r="Y215" s="151">
        <f t="shared" si="122"/>
        <v>2033</v>
      </c>
      <c r="Z215" s="151">
        <f t="shared" si="122"/>
        <v>2034</v>
      </c>
      <c r="AA215" s="151">
        <f t="shared" si="122"/>
        <v>2035</v>
      </c>
      <c r="AB215" s="151">
        <f t="shared" si="122"/>
        <v>2036</v>
      </c>
      <c r="AC215" s="151">
        <f t="shared" si="122"/>
        <v>2037</v>
      </c>
      <c r="AD215" s="151">
        <f t="shared" si="122"/>
        <v>2038</v>
      </c>
      <c r="AE215" s="151">
        <f t="shared" si="122"/>
        <v>2039</v>
      </c>
      <c r="AF215" s="151">
        <f t="shared" si="122"/>
        <v>2040</v>
      </c>
      <c r="AG215" s="151">
        <f t="shared" si="122"/>
        <v>2041</v>
      </c>
      <c r="AH215" s="151">
        <f t="shared" si="122"/>
        <v>2042</v>
      </c>
      <c r="AI215" s="151">
        <f t="shared" si="122"/>
        <v>2043</v>
      </c>
      <c r="AJ215" s="151">
        <f t="shared" si="122"/>
        <v>2044</v>
      </c>
      <c r="AK215" s="151">
        <f t="shared" si="122"/>
        <v>2045</v>
      </c>
      <c r="AL215" s="151">
        <f t="shared" si="122"/>
        <v>2046</v>
      </c>
      <c r="AM215" s="151">
        <f t="shared" si="122"/>
        <v>2047</v>
      </c>
      <c r="AN215" s="151">
        <f t="shared" si="122"/>
        <v>2048</v>
      </c>
      <c r="AO215" s="151">
        <f t="shared" si="122"/>
        <v>2049</v>
      </c>
      <c r="AP215" s="151">
        <f t="shared" si="122"/>
        <v>2050</v>
      </c>
      <c r="AQ215" s="151">
        <f t="shared" si="122"/>
        <v>2051</v>
      </c>
      <c r="AR215" s="151">
        <f t="shared" si="122"/>
        <v>2052</v>
      </c>
      <c r="AS215" s="151">
        <f t="shared" si="122"/>
        <v>2053</v>
      </c>
      <c r="AT215" s="151">
        <f t="shared" si="122"/>
        <v>2054</v>
      </c>
      <c r="AU215" s="151">
        <f t="shared" si="122"/>
        <v>2055</v>
      </c>
      <c r="AV215" s="151">
        <f t="shared" si="122"/>
        <v>2056</v>
      </c>
      <c r="AW215" s="151">
        <f t="shared" si="122"/>
        <v>2057</v>
      </c>
      <c r="AX215" s="151">
        <f t="shared" si="122"/>
        <v>2058</v>
      </c>
      <c r="AY215" s="151">
        <f t="shared" si="122"/>
        <v>2059</v>
      </c>
      <c r="AZ215" s="151">
        <f t="shared" si="122"/>
        <v>2060</v>
      </c>
      <c r="BA215" s="484">
        <f t="shared" si="122"/>
        <v>2061</v>
      </c>
    </row>
    <row r="216" spans="1:53" s="246" customFormat="1" outlineLevel="1">
      <c r="A216" s="244"/>
      <c r="B216" s="244"/>
      <c r="C216" s="28"/>
      <c r="D216" s="28"/>
      <c r="E216" s="366" t="s">
        <v>604</v>
      </c>
      <c r="F216" s="367">
        <f>+F10-F21</f>
        <v>-748210.3200000003</v>
      </c>
      <c r="G216" s="367">
        <f>+G10-G21</f>
        <v>1982288.5199999958</v>
      </c>
      <c r="H216" s="367">
        <f>+H10-H21</f>
        <v>1153140.6000000015</v>
      </c>
      <c r="I216" s="367">
        <f>+I10-I21</f>
        <v>775608.55999999493</v>
      </c>
      <c r="J216" s="367">
        <f t="shared" ref="J216:BA216" si="123">+J10-J21</f>
        <v>5207119.07</v>
      </c>
      <c r="K216" s="367">
        <f t="shared" si="123"/>
        <v>3799751.3699999973</v>
      </c>
      <c r="L216" s="367">
        <f t="shared" si="123"/>
        <v>-10500000</v>
      </c>
      <c r="M216" s="367">
        <f t="shared" si="123"/>
        <v>4594091.3500000015</v>
      </c>
      <c r="N216" s="367">
        <f t="shared" si="123"/>
        <v>-14662538</v>
      </c>
      <c r="O216" s="367">
        <f t="shared" si="123"/>
        <v>1000000</v>
      </c>
      <c r="P216" s="367">
        <f t="shared" si="123"/>
        <v>1915000</v>
      </c>
      <c r="Q216" s="367">
        <f t="shared" si="123"/>
        <v>2000000</v>
      </c>
      <c r="R216" s="367">
        <f t="shared" si="123"/>
        <v>2000000</v>
      </c>
      <c r="S216" s="367">
        <f t="shared" si="123"/>
        <v>2000000</v>
      </c>
      <c r="T216" s="367">
        <f t="shared" si="123"/>
        <v>1500000</v>
      </c>
      <c r="U216" s="367">
        <f t="shared" si="123"/>
        <v>1500000</v>
      </c>
      <c r="V216" s="367">
        <f t="shared" si="123"/>
        <v>1500000</v>
      </c>
      <c r="W216" s="367">
        <f t="shared" si="123"/>
        <v>1500000</v>
      </c>
      <c r="X216" s="367">
        <f t="shared" si="123"/>
        <v>1750000</v>
      </c>
      <c r="Y216" s="367">
        <f t="shared" si="123"/>
        <v>1750000</v>
      </c>
      <c r="Z216" s="367">
        <f t="shared" si="123"/>
        <v>0</v>
      </c>
      <c r="AA216" s="367">
        <f t="shared" si="123"/>
        <v>0</v>
      </c>
      <c r="AB216" s="367">
        <f t="shared" si="123"/>
        <v>0</v>
      </c>
      <c r="AC216" s="367">
        <f t="shared" si="123"/>
        <v>0</v>
      </c>
      <c r="AD216" s="367">
        <f t="shared" si="123"/>
        <v>0</v>
      </c>
      <c r="AE216" s="367">
        <f t="shared" si="123"/>
        <v>0</v>
      </c>
      <c r="AF216" s="367">
        <f t="shared" si="123"/>
        <v>0</v>
      </c>
      <c r="AG216" s="367">
        <f t="shared" si="123"/>
        <v>0</v>
      </c>
      <c r="AH216" s="367">
        <f t="shared" si="123"/>
        <v>0</v>
      </c>
      <c r="AI216" s="367">
        <f t="shared" si="123"/>
        <v>0</v>
      </c>
      <c r="AJ216" s="367">
        <f t="shared" si="123"/>
        <v>0</v>
      </c>
      <c r="AK216" s="367">
        <f t="shared" si="123"/>
        <v>0</v>
      </c>
      <c r="AL216" s="367">
        <f t="shared" si="123"/>
        <v>0</v>
      </c>
      <c r="AM216" s="367">
        <f t="shared" si="123"/>
        <v>0</v>
      </c>
      <c r="AN216" s="367">
        <f t="shared" si="123"/>
        <v>0</v>
      </c>
      <c r="AO216" s="367">
        <f t="shared" si="123"/>
        <v>0</v>
      </c>
      <c r="AP216" s="367">
        <f t="shared" si="123"/>
        <v>0</v>
      </c>
      <c r="AQ216" s="367">
        <f t="shared" si="123"/>
        <v>0</v>
      </c>
      <c r="AR216" s="367">
        <f t="shared" si="123"/>
        <v>0</v>
      </c>
      <c r="AS216" s="367">
        <f t="shared" si="123"/>
        <v>0</v>
      </c>
      <c r="AT216" s="367">
        <f t="shared" si="123"/>
        <v>0</v>
      </c>
      <c r="AU216" s="367">
        <f t="shared" si="123"/>
        <v>0</v>
      </c>
      <c r="AV216" s="367">
        <f t="shared" si="123"/>
        <v>0</v>
      </c>
      <c r="AW216" s="367">
        <f t="shared" si="123"/>
        <v>0</v>
      </c>
      <c r="AX216" s="367">
        <f t="shared" si="123"/>
        <v>0</v>
      </c>
      <c r="AY216" s="367">
        <f t="shared" si="123"/>
        <v>0</v>
      </c>
      <c r="AZ216" s="367">
        <f t="shared" si="123"/>
        <v>0</v>
      </c>
      <c r="BA216" s="368">
        <f t="shared" si="123"/>
        <v>0</v>
      </c>
    </row>
    <row r="217" spans="1:53" s="246" customFormat="1" outlineLevel="1">
      <c r="A217" s="244"/>
      <c r="B217" s="244"/>
      <c r="C217" s="28"/>
      <c r="D217" s="28"/>
      <c r="E217" s="369" t="s">
        <v>605</v>
      </c>
      <c r="F217" s="357">
        <f>+F35-F46</f>
        <v>0</v>
      </c>
      <c r="G217" s="357">
        <f>+G35-G46</f>
        <v>0</v>
      </c>
      <c r="H217" s="357">
        <f>+H35-H46</f>
        <v>0</v>
      </c>
      <c r="I217" s="357">
        <f>+I35-I46</f>
        <v>0</v>
      </c>
      <c r="J217" s="357">
        <f t="shared" ref="J217:BA217" si="124">+J35-J46</f>
        <v>1699428.56</v>
      </c>
      <c r="K217" s="357">
        <f t="shared" si="124"/>
        <v>6906547.6299999999</v>
      </c>
      <c r="L217" s="357">
        <f t="shared" si="124"/>
        <v>10500000</v>
      </c>
      <c r="M217" s="357">
        <f t="shared" si="124"/>
        <v>10319472.84</v>
      </c>
      <c r="N217" s="357">
        <f t="shared" si="124"/>
        <v>14662538</v>
      </c>
      <c r="O217" s="357">
        <f t="shared" si="124"/>
        <v>-1000000</v>
      </c>
      <c r="P217" s="357">
        <f t="shared" si="124"/>
        <v>-1915000</v>
      </c>
      <c r="Q217" s="357">
        <f t="shared" si="124"/>
        <v>-2000000</v>
      </c>
      <c r="R217" s="357">
        <f t="shared" si="124"/>
        <v>-2000000</v>
      </c>
      <c r="S217" s="357">
        <f t="shared" si="124"/>
        <v>-2000000</v>
      </c>
      <c r="T217" s="357">
        <f t="shared" si="124"/>
        <v>-1500000</v>
      </c>
      <c r="U217" s="357">
        <f t="shared" si="124"/>
        <v>-1500000</v>
      </c>
      <c r="V217" s="357">
        <f t="shared" si="124"/>
        <v>-1500000</v>
      </c>
      <c r="W217" s="357">
        <f t="shared" si="124"/>
        <v>-1500000</v>
      </c>
      <c r="X217" s="357">
        <f t="shared" si="124"/>
        <v>-1750000</v>
      </c>
      <c r="Y217" s="357">
        <f t="shared" si="124"/>
        <v>-1750000</v>
      </c>
      <c r="Z217" s="357">
        <f t="shared" si="124"/>
        <v>0</v>
      </c>
      <c r="AA217" s="357">
        <f t="shared" si="124"/>
        <v>0</v>
      </c>
      <c r="AB217" s="357">
        <f t="shared" si="124"/>
        <v>0</v>
      </c>
      <c r="AC217" s="357">
        <f t="shared" si="124"/>
        <v>0</v>
      </c>
      <c r="AD217" s="357">
        <f t="shared" si="124"/>
        <v>0</v>
      </c>
      <c r="AE217" s="357">
        <f t="shared" si="124"/>
        <v>0</v>
      </c>
      <c r="AF217" s="357">
        <f t="shared" si="124"/>
        <v>0</v>
      </c>
      <c r="AG217" s="357">
        <f t="shared" si="124"/>
        <v>0</v>
      </c>
      <c r="AH217" s="357">
        <f t="shared" si="124"/>
        <v>0</v>
      </c>
      <c r="AI217" s="357">
        <f t="shared" si="124"/>
        <v>0</v>
      </c>
      <c r="AJ217" s="357">
        <f t="shared" si="124"/>
        <v>0</v>
      </c>
      <c r="AK217" s="357">
        <f t="shared" si="124"/>
        <v>0</v>
      </c>
      <c r="AL217" s="357">
        <f t="shared" si="124"/>
        <v>0</v>
      </c>
      <c r="AM217" s="357">
        <f t="shared" si="124"/>
        <v>0</v>
      </c>
      <c r="AN217" s="357">
        <f t="shared" si="124"/>
        <v>0</v>
      </c>
      <c r="AO217" s="357">
        <f t="shared" si="124"/>
        <v>0</v>
      </c>
      <c r="AP217" s="357">
        <f t="shared" si="124"/>
        <v>0</v>
      </c>
      <c r="AQ217" s="357">
        <f t="shared" si="124"/>
        <v>0</v>
      </c>
      <c r="AR217" s="357">
        <f t="shared" si="124"/>
        <v>0</v>
      </c>
      <c r="AS217" s="357">
        <f t="shared" si="124"/>
        <v>0</v>
      </c>
      <c r="AT217" s="357">
        <f t="shared" si="124"/>
        <v>0</v>
      </c>
      <c r="AU217" s="357">
        <f t="shared" si="124"/>
        <v>0</v>
      </c>
      <c r="AV217" s="357">
        <f t="shared" si="124"/>
        <v>0</v>
      </c>
      <c r="AW217" s="357">
        <f t="shared" si="124"/>
        <v>0</v>
      </c>
      <c r="AX217" s="357">
        <f t="shared" si="124"/>
        <v>0</v>
      </c>
      <c r="AY217" s="357">
        <f t="shared" si="124"/>
        <v>0</v>
      </c>
      <c r="AZ217" s="357">
        <f t="shared" si="124"/>
        <v>0</v>
      </c>
      <c r="BA217" s="358">
        <f t="shared" si="124"/>
        <v>0</v>
      </c>
    </row>
    <row r="218" spans="1:53" s="246" customFormat="1" outlineLevel="1">
      <c r="A218" s="244"/>
      <c r="B218" s="244"/>
      <c r="C218" s="28"/>
      <c r="D218" s="28"/>
      <c r="E218" s="369" t="s">
        <v>606</v>
      </c>
      <c r="F218" s="357">
        <f>+F10-F21+F35-F46</f>
        <v>-748210.3200000003</v>
      </c>
      <c r="G218" s="357">
        <f>+G10-G21+G35-G46</f>
        <v>1982288.5199999958</v>
      </c>
      <c r="H218" s="357">
        <f>+H10-H21+H35-H46</f>
        <v>1153140.6000000015</v>
      </c>
      <c r="I218" s="357">
        <f>+I10-I21+I35-I46</f>
        <v>775608.55999999493</v>
      </c>
      <c r="J218" s="357">
        <f t="shared" ref="J218:BA218" si="125">+J10-J21+J35-J46</f>
        <v>6906547.6300000008</v>
      </c>
      <c r="K218" s="357">
        <f t="shared" si="125"/>
        <v>10706298.999999996</v>
      </c>
      <c r="L218" s="357">
        <f t="shared" si="125"/>
        <v>0</v>
      </c>
      <c r="M218" s="357">
        <f t="shared" si="125"/>
        <v>14913564.190000001</v>
      </c>
      <c r="N218" s="357">
        <f t="shared" si="125"/>
        <v>0</v>
      </c>
      <c r="O218" s="357">
        <f t="shared" si="125"/>
        <v>0</v>
      </c>
      <c r="P218" s="357">
        <f t="shared" si="125"/>
        <v>0</v>
      </c>
      <c r="Q218" s="357">
        <f t="shared" si="125"/>
        <v>0</v>
      </c>
      <c r="R218" s="357">
        <f t="shared" si="125"/>
        <v>0</v>
      </c>
      <c r="S218" s="357">
        <f t="shared" si="125"/>
        <v>0</v>
      </c>
      <c r="T218" s="357">
        <f t="shared" si="125"/>
        <v>0</v>
      </c>
      <c r="U218" s="357">
        <f t="shared" si="125"/>
        <v>0</v>
      </c>
      <c r="V218" s="357">
        <f t="shared" si="125"/>
        <v>0</v>
      </c>
      <c r="W218" s="357">
        <f t="shared" si="125"/>
        <v>0</v>
      </c>
      <c r="X218" s="357">
        <f t="shared" si="125"/>
        <v>0</v>
      </c>
      <c r="Y218" s="357">
        <f t="shared" si="125"/>
        <v>0</v>
      </c>
      <c r="Z218" s="357">
        <f t="shared" si="125"/>
        <v>0</v>
      </c>
      <c r="AA218" s="357">
        <f t="shared" si="125"/>
        <v>0</v>
      </c>
      <c r="AB218" s="357">
        <f t="shared" si="125"/>
        <v>0</v>
      </c>
      <c r="AC218" s="357">
        <f t="shared" si="125"/>
        <v>0</v>
      </c>
      <c r="AD218" s="357">
        <f t="shared" si="125"/>
        <v>0</v>
      </c>
      <c r="AE218" s="357">
        <f t="shared" si="125"/>
        <v>0</v>
      </c>
      <c r="AF218" s="357">
        <f t="shared" si="125"/>
        <v>0</v>
      </c>
      <c r="AG218" s="357">
        <f t="shared" si="125"/>
        <v>0</v>
      </c>
      <c r="AH218" s="357">
        <f t="shared" si="125"/>
        <v>0</v>
      </c>
      <c r="AI218" s="357">
        <f t="shared" si="125"/>
        <v>0</v>
      </c>
      <c r="AJ218" s="357">
        <f t="shared" si="125"/>
        <v>0</v>
      </c>
      <c r="AK218" s="357">
        <f t="shared" si="125"/>
        <v>0</v>
      </c>
      <c r="AL218" s="357">
        <f t="shared" si="125"/>
        <v>0</v>
      </c>
      <c r="AM218" s="357">
        <f t="shared" si="125"/>
        <v>0</v>
      </c>
      <c r="AN218" s="357">
        <f t="shared" si="125"/>
        <v>0</v>
      </c>
      <c r="AO218" s="357">
        <f t="shared" si="125"/>
        <v>0</v>
      </c>
      <c r="AP218" s="357">
        <f t="shared" si="125"/>
        <v>0</v>
      </c>
      <c r="AQ218" s="357">
        <f t="shared" si="125"/>
        <v>0</v>
      </c>
      <c r="AR218" s="357">
        <f t="shared" si="125"/>
        <v>0</v>
      </c>
      <c r="AS218" s="357">
        <f t="shared" si="125"/>
        <v>0</v>
      </c>
      <c r="AT218" s="357">
        <f t="shared" si="125"/>
        <v>0</v>
      </c>
      <c r="AU218" s="357">
        <f t="shared" si="125"/>
        <v>0</v>
      </c>
      <c r="AV218" s="357">
        <f t="shared" si="125"/>
        <v>0</v>
      </c>
      <c r="AW218" s="357">
        <f t="shared" si="125"/>
        <v>0</v>
      </c>
      <c r="AX218" s="357">
        <f t="shared" si="125"/>
        <v>0</v>
      </c>
      <c r="AY218" s="357">
        <f t="shared" si="125"/>
        <v>0</v>
      </c>
      <c r="AZ218" s="357">
        <f t="shared" si="125"/>
        <v>0</v>
      </c>
      <c r="BA218" s="358">
        <f t="shared" si="125"/>
        <v>0</v>
      </c>
    </row>
    <row r="219" spans="1:53" s="246" customFormat="1" ht="15" outlineLevel="1">
      <c r="A219" s="244"/>
      <c r="B219" s="244"/>
      <c r="C219" s="370"/>
      <c r="D219" s="28"/>
      <c r="E219" s="369" t="s">
        <v>607</v>
      </c>
      <c r="F219" s="357">
        <f>+F11-F22</f>
        <v>2352561.4999999963</v>
      </c>
      <c r="G219" s="357">
        <f>+G11-G22</f>
        <v>4353198.4800000042</v>
      </c>
      <c r="H219" s="357">
        <f>+H11-H22</f>
        <v>3565984.0600000024</v>
      </c>
      <c r="I219" s="357">
        <f>+I11-I22</f>
        <v>4245842.4699999988</v>
      </c>
      <c r="J219" s="357">
        <f t="shared" ref="J219:BA219" si="126">+J11-J22</f>
        <v>5872693.0700000003</v>
      </c>
      <c r="K219" s="357">
        <f t="shared" si="126"/>
        <v>4586950.8299999982</v>
      </c>
      <c r="L219" s="357">
        <f t="shared" si="126"/>
        <v>2120038</v>
      </c>
      <c r="M219" s="357">
        <f t="shared" si="126"/>
        <v>8749720.2599999979</v>
      </c>
      <c r="N219" s="357">
        <f t="shared" si="126"/>
        <v>1058265</v>
      </c>
      <c r="O219" s="357">
        <f t="shared" si="126"/>
        <v>1904854</v>
      </c>
      <c r="P219" s="357">
        <f t="shared" si="126"/>
        <v>2445284</v>
      </c>
      <c r="Q219" s="357">
        <f t="shared" si="126"/>
        <v>3113533</v>
      </c>
      <c r="R219" s="357">
        <f t="shared" si="126"/>
        <v>3816905</v>
      </c>
      <c r="S219" s="357">
        <f t="shared" si="126"/>
        <v>4498543</v>
      </c>
      <c r="T219" s="357">
        <f t="shared" si="126"/>
        <v>5146159</v>
      </c>
      <c r="U219" s="357">
        <f t="shared" si="126"/>
        <v>5690393</v>
      </c>
      <c r="V219" s="357">
        <f t="shared" si="126"/>
        <v>6126926</v>
      </c>
      <c r="W219" s="357">
        <f t="shared" si="126"/>
        <v>6514120</v>
      </c>
      <c r="X219" s="357">
        <f t="shared" si="126"/>
        <v>6861826</v>
      </c>
      <c r="Y219" s="357">
        <f t="shared" si="126"/>
        <v>7165107</v>
      </c>
      <c r="Z219" s="357">
        <f t="shared" si="126"/>
        <v>0</v>
      </c>
      <c r="AA219" s="357">
        <f t="shared" si="126"/>
        <v>0</v>
      </c>
      <c r="AB219" s="357">
        <f t="shared" si="126"/>
        <v>0</v>
      </c>
      <c r="AC219" s="357">
        <f t="shared" si="126"/>
        <v>0</v>
      </c>
      <c r="AD219" s="357">
        <f t="shared" si="126"/>
        <v>0</v>
      </c>
      <c r="AE219" s="357">
        <f t="shared" si="126"/>
        <v>0</v>
      </c>
      <c r="AF219" s="357">
        <f t="shared" si="126"/>
        <v>0</v>
      </c>
      <c r="AG219" s="357">
        <f t="shared" si="126"/>
        <v>0</v>
      </c>
      <c r="AH219" s="357">
        <f t="shared" si="126"/>
        <v>0</v>
      </c>
      <c r="AI219" s="357">
        <f t="shared" si="126"/>
        <v>0</v>
      </c>
      <c r="AJ219" s="357">
        <f t="shared" si="126"/>
        <v>0</v>
      </c>
      <c r="AK219" s="357">
        <f t="shared" si="126"/>
        <v>0</v>
      </c>
      <c r="AL219" s="357">
        <f t="shared" si="126"/>
        <v>0</v>
      </c>
      <c r="AM219" s="357">
        <f t="shared" si="126"/>
        <v>0</v>
      </c>
      <c r="AN219" s="357">
        <f t="shared" si="126"/>
        <v>0</v>
      </c>
      <c r="AO219" s="357">
        <f t="shared" si="126"/>
        <v>0</v>
      </c>
      <c r="AP219" s="357">
        <f t="shared" si="126"/>
        <v>0</v>
      </c>
      <c r="AQ219" s="357">
        <f t="shared" si="126"/>
        <v>0</v>
      </c>
      <c r="AR219" s="357">
        <f t="shared" si="126"/>
        <v>0</v>
      </c>
      <c r="AS219" s="357">
        <f t="shared" si="126"/>
        <v>0</v>
      </c>
      <c r="AT219" s="357">
        <f t="shared" si="126"/>
        <v>0</v>
      </c>
      <c r="AU219" s="357">
        <f t="shared" si="126"/>
        <v>0</v>
      </c>
      <c r="AV219" s="357">
        <f t="shared" si="126"/>
        <v>0</v>
      </c>
      <c r="AW219" s="357">
        <f t="shared" si="126"/>
        <v>0</v>
      </c>
      <c r="AX219" s="357">
        <f t="shared" si="126"/>
        <v>0</v>
      </c>
      <c r="AY219" s="357">
        <f t="shared" si="126"/>
        <v>0</v>
      </c>
      <c r="AZ219" s="357">
        <f t="shared" si="126"/>
        <v>0</v>
      </c>
      <c r="BA219" s="358">
        <f t="shared" si="126"/>
        <v>0</v>
      </c>
    </row>
    <row r="220" spans="1:53" s="246" customFormat="1" ht="24" outlineLevel="1">
      <c r="A220" s="244"/>
      <c r="B220" s="244"/>
      <c r="C220" s="370"/>
      <c r="D220" s="28"/>
      <c r="E220" s="371" t="s">
        <v>608</v>
      </c>
      <c r="F220" s="372">
        <f>+F11-F22-F47</f>
        <v>2352561.4999999963</v>
      </c>
      <c r="G220" s="372">
        <f>+G11-G22-G47</f>
        <v>4353198.4800000042</v>
      </c>
      <c r="H220" s="372">
        <f>+H11-H22-H47</f>
        <v>3565984.0600000024</v>
      </c>
      <c r="I220" s="372">
        <f>+I11-I22-I47</f>
        <v>4245842.4699999988</v>
      </c>
      <c r="J220" s="372">
        <f t="shared" ref="J220:BA220" si="127">+J11-J22-J47</f>
        <v>5872693.0700000003</v>
      </c>
      <c r="K220" s="372">
        <f t="shared" si="127"/>
        <v>4586950.8299999982</v>
      </c>
      <c r="L220" s="372">
        <f t="shared" si="127"/>
        <v>120038</v>
      </c>
      <c r="M220" s="372">
        <f t="shared" si="127"/>
        <v>6749720.2599999979</v>
      </c>
      <c r="N220" s="372">
        <f t="shared" si="127"/>
        <v>1058265</v>
      </c>
      <c r="O220" s="372">
        <f t="shared" si="127"/>
        <v>-95146</v>
      </c>
      <c r="P220" s="372">
        <f t="shared" si="127"/>
        <v>530284</v>
      </c>
      <c r="Q220" s="372">
        <f t="shared" si="127"/>
        <v>1113533</v>
      </c>
      <c r="R220" s="372">
        <f t="shared" si="127"/>
        <v>1816905</v>
      </c>
      <c r="S220" s="372">
        <f t="shared" si="127"/>
        <v>2498543</v>
      </c>
      <c r="T220" s="372">
        <f t="shared" si="127"/>
        <v>3646159</v>
      </c>
      <c r="U220" s="372">
        <f t="shared" si="127"/>
        <v>4190393</v>
      </c>
      <c r="V220" s="372">
        <f t="shared" si="127"/>
        <v>4626926</v>
      </c>
      <c r="W220" s="372">
        <f t="shared" si="127"/>
        <v>5014120</v>
      </c>
      <c r="X220" s="372">
        <f t="shared" si="127"/>
        <v>5111826</v>
      </c>
      <c r="Y220" s="372">
        <f t="shared" si="127"/>
        <v>5415107</v>
      </c>
      <c r="Z220" s="372">
        <f t="shared" si="127"/>
        <v>0</v>
      </c>
      <c r="AA220" s="372">
        <f t="shared" si="127"/>
        <v>0</v>
      </c>
      <c r="AB220" s="372">
        <f t="shared" si="127"/>
        <v>0</v>
      </c>
      <c r="AC220" s="372">
        <f t="shared" si="127"/>
        <v>0</v>
      </c>
      <c r="AD220" s="372">
        <f t="shared" si="127"/>
        <v>0</v>
      </c>
      <c r="AE220" s="372">
        <f t="shared" si="127"/>
        <v>0</v>
      </c>
      <c r="AF220" s="372">
        <f t="shared" si="127"/>
        <v>0</v>
      </c>
      <c r="AG220" s="372">
        <f t="shared" si="127"/>
        <v>0</v>
      </c>
      <c r="AH220" s="372">
        <f t="shared" si="127"/>
        <v>0</v>
      </c>
      <c r="AI220" s="372">
        <f t="shared" si="127"/>
        <v>0</v>
      </c>
      <c r="AJ220" s="372">
        <f t="shared" si="127"/>
        <v>0</v>
      </c>
      <c r="AK220" s="372">
        <f t="shared" si="127"/>
        <v>0</v>
      </c>
      <c r="AL220" s="372">
        <f t="shared" si="127"/>
        <v>0</v>
      </c>
      <c r="AM220" s="372">
        <f t="shared" si="127"/>
        <v>0</v>
      </c>
      <c r="AN220" s="372">
        <f t="shared" si="127"/>
        <v>0</v>
      </c>
      <c r="AO220" s="372">
        <f t="shared" si="127"/>
        <v>0</v>
      </c>
      <c r="AP220" s="372">
        <f t="shared" si="127"/>
        <v>0</v>
      </c>
      <c r="AQ220" s="372">
        <f t="shared" si="127"/>
        <v>0</v>
      </c>
      <c r="AR220" s="372">
        <f t="shared" si="127"/>
        <v>0</v>
      </c>
      <c r="AS220" s="372">
        <f t="shared" si="127"/>
        <v>0</v>
      </c>
      <c r="AT220" s="372">
        <f t="shared" si="127"/>
        <v>0</v>
      </c>
      <c r="AU220" s="372">
        <f t="shared" si="127"/>
        <v>0</v>
      </c>
      <c r="AV220" s="372">
        <f t="shared" si="127"/>
        <v>0</v>
      </c>
      <c r="AW220" s="372">
        <f t="shared" si="127"/>
        <v>0</v>
      </c>
      <c r="AX220" s="372">
        <f t="shared" si="127"/>
        <v>0</v>
      </c>
      <c r="AY220" s="372">
        <f t="shared" si="127"/>
        <v>0</v>
      </c>
      <c r="AZ220" s="372">
        <f t="shared" si="127"/>
        <v>0</v>
      </c>
      <c r="BA220" s="373">
        <f t="shared" si="127"/>
        <v>0</v>
      </c>
    </row>
    <row r="221" spans="1:53" s="246" customFormat="1" ht="24" outlineLevel="1">
      <c r="A221" s="244"/>
      <c r="B221" s="244"/>
      <c r="C221" s="370"/>
      <c r="D221" s="28"/>
      <c r="E221" s="374" t="s">
        <v>609</v>
      </c>
      <c r="F221" s="367">
        <f>+F79-F85</f>
        <v>-20013.929999999993</v>
      </c>
      <c r="G221" s="367">
        <f>+G79-G85</f>
        <v>13071.669999999998</v>
      </c>
      <c r="H221" s="367">
        <f>+H79-H85</f>
        <v>136013.52000000002</v>
      </c>
      <c r="I221" s="367">
        <f>+I79-I85</f>
        <v>250295.58000000007</v>
      </c>
      <c r="J221" s="367">
        <f t="shared" ref="J221:BA221" si="128">+J79-J85</f>
        <v>-50713.140000000014</v>
      </c>
      <c r="K221" s="367">
        <f t="shared" si="128"/>
        <v>84325.04999999993</v>
      </c>
      <c r="L221" s="367">
        <f t="shared" si="128"/>
        <v>-442781</v>
      </c>
      <c r="M221" s="367">
        <f t="shared" si="128"/>
        <v>696542.05999999994</v>
      </c>
      <c r="N221" s="367">
        <f t="shared" si="128"/>
        <v>-379167</v>
      </c>
      <c r="O221" s="367">
        <f t="shared" si="128"/>
        <v>-418220</v>
      </c>
      <c r="P221" s="367">
        <f t="shared" si="128"/>
        <v>0</v>
      </c>
      <c r="Q221" s="367">
        <f t="shared" si="128"/>
        <v>0</v>
      </c>
      <c r="R221" s="367">
        <f t="shared" si="128"/>
        <v>0</v>
      </c>
      <c r="S221" s="367">
        <f t="shared" si="128"/>
        <v>0</v>
      </c>
      <c r="T221" s="367">
        <f t="shared" si="128"/>
        <v>0</v>
      </c>
      <c r="U221" s="367">
        <f t="shared" si="128"/>
        <v>0</v>
      </c>
      <c r="V221" s="367">
        <f t="shared" si="128"/>
        <v>0</v>
      </c>
      <c r="W221" s="367">
        <f t="shared" si="128"/>
        <v>0</v>
      </c>
      <c r="X221" s="367">
        <f t="shared" si="128"/>
        <v>0</v>
      </c>
      <c r="Y221" s="367">
        <f t="shared" si="128"/>
        <v>0</v>
      </c>
      <c r="Z221" s="367">
        <f t="shared" si="128"/>
        <v>0</v>
      </c>
      <c r="AA221" s="367">
        <f t="shared" si="128"/>
        <v>0</v>
      </c>
      <c r="AB221" s="367">
        <f t="shared" si="128"/>
        <v>0</v>
      </c>
      <c r="AC221" s="367">
        <f t="shared" si="128"/>
        <v>0</v>
      </c>
      <c r="AD221" s="367">
        <f t="shared" si="128"/>
        <v>0</v>
      </c>
      <c r="AE221" s="367">
        <f t="shared" si="128"/>
        <v>0</v>
      </c>
      <c r="AF221" s="367">
        <f t="shared" si="128"/>
        <v>0</v>
      </c>
      <c r="AG221" s="367">
        <f t="shared" si="128"/>
        <v>0</v>
      </c>
      <c r="AH221" s="367">
        <f t="shared" si="128"/>
        <v>0</v>
      </c>
      <c r="AI221" s="367">
        <f t="shared" si="128"/>
        <v>0</v>
      </c>
      <c r="AJ221" s="367">
        <f t="shared" si="128"/>
        <v>0</v>
      </c>
      <c r="AK221" s="367">
        <f t="shared" si="128"/>
        <v>0</v>
      </c>
      <c r="AL221" s="367">
        <f t="shared" si="128"/>
        <v>0</v>
      </c>
      <c r="AM221" s="367">
        <f t="shared" si="128"/>
        <v>0</v>
      </c>
      <c r="AN221" s="367">
        <f t="shared" si="128"/>
        <v>0</v>
      </c>
      <c r="AO221" s="367">
        <f t="shared" si="128"/>
        <v>0</v>
      </c>
      <c r="AP221" s="367">
        <f t="shared" si="128"/>
        <v>0</v>
      </c>
      <c r="AQ221" s="367">
        <f t="shared" si="128"/>
        <v>0</v>
      </c>
      <c r="AR221" s="367">
        <f t="shared" si="128"/>
        <v>0</v>
      </c>
      <c r="AS221" s="367">
        <f t="shared" si="128"/>
        <v>0</v>
      </c>
      <c r="AT221" s="367">
        <f t="shared" si="128"/>
        <v>0</v>
      </c>
      <c r="AU221" s="367">
        <f t="shared" si="128"/>
        <v>0</v>
      </c>
      <c r="AV221" s="367">
        <f t="shared" si="128"/>
        <v>0</v>
      </c>
      <c r="AW221" s="367">
        <f t="shared" si="128"/>
        <v>0</v>
      </c>
      <c r="AX221" s="367">
        <f t="shared" si="128"/>
        <v>0</v>
      </c>
      <c r="AY221" s="367">
        <f t="shared" si="128"/>
        <v>0</v>
      </c>
      <c r="AZ221" s="367">
        <f t="shared" si="128"/>
        <v>0</v>
      </c>
      <c r="BA221" s="368">
        <f t="shared" si="128"/>
        <v>0</v>
      </c>
    </row>
    <row r="222" spans="1:53" s="246" customFormat="1" ht="24" outlineLevel="1">
      <c r="A222" s="244"/>
      <c r="B222" s="244"/>
      <c r="C222" s="370"/>
      <c r="D222" s="28"/>
      <c r="E222" s="375" t="s">
        <v>610</v>
      </c>
      <c r="F222" s="376">
        <f>+F82-F88</f>
        <v>0</v>
      </c>
      <c r="G222" s="376">
        <f>+G82-G88</f>
        <v>0</v>
      </c>
      <c r="H222" s="376">
        <f>+H82-H88</f>
        <v>-467439.15</v>
      </c>
      <c r="I222" s="376">
        <f>+I82-I88</f>
        <v>-2961449.3699999996</v>
      </c>
      <c r="J222" s="376">
        <f t="shared" ref="J222:BA222" si="129">+J82-J88</f>
        <v>-1092999.8600000003</v>
      </c>
      <c r="K222" s="376">
        <f t="shared" si="129"/>
        <v>742035.09999999963</v>
      </c>
      <c r="L222" s="376">
        <f t="shared" si="129"/>
        <v>0</v>
      </c>
      <c r="M222" s="376">
        <f t="shared" si="129"/>
        <v>0</v>
      </c>
      <c r="N222" s="376">
        <f t="shared" si="129"/>
        <v>2790427</v>
      </c>
      <c r="O222" s="376">
        <f t="shared" si="129"/>
        <v>0</v>
      </c>
      <c r="P222" s="376">
        <f t="shared" si="129"/>
        <v>0</v>
      </c>
      <c r="Q222" s="376">
        <f t="shared" si="129"/>
        <v>0</v>
      </c>
      <c r="R222" s="376">
        <f t="shared" si="129"/>
        <v>0</v>
      </c>
      <c r="S222" s="376">
        <f t="shared" si="129"/>
        <v>0</v>
      </c>
      <c r="T222" s="376">
        <f t="shared" si="129"/>
        <v>0</v>
      </c>
      <c r="U222" s="376">
        <f t="shared" si="129"/>
        <v>0</v>
      </c>
      <c r="V222" s="376">
        <f t="shared" si="129"/>
        <v>0</v>
      </c>
      <c r="W222" s="376">
        <f t="shared" si="129"/>
        <v>0</v>
      </c>
      <c r="X222" s="376">
        <f t="shared" si="129"/>
        <v>0</v>
      </c>
      <c r="Y222" s="376">
        <f t="shared" si="129"/>
        <v>0</v>
      </c>
      <c r="Z222" s="376">
        <f t="shared" si="129"/>
        <v>0</v>
      </c>
      <c r="AA222" s="376">
        <f t="shared" si="129"/>
        <v>0</v>
      </c>
      <c r="AB222" s="376">
        <f t="shared" si="129"/>
        <v>0</v>
      </c>
      <c r="AC222" s="376">
        <f t="shared" si="129"/>
        <v>0</v>
      </c>
      <c r="AD222" s="376">
        <f t="shared" si="129"/>
        <v>0</v>
      </c>
      <c r="AE222" s="376">
        <f t="shared" si="129"/>
        <v>0</v>
      </c>
      <c r="AF222" s="376">
        <f t="shared" si="129"/>
        <v>0</v>
      </c>
      <c r="AG222" s="376">
        <f t="shared" si="129"/>
        <v>0</v>
      </c>
      <c r="AH222" s="376">
        <f t="shared" si="129"/>
        <v>0</v>
      </c>
      <c r="AI222" s="376">
        <f t="shared" si="129"/>
        <v>0</v>
      </c>
      <c r="AJ222" s="376">
        <f t="shared" si="129"/>
        <v>0</v>
      </c>
      <c r="AK222" s="376">
        <f t="shared" si="129"/>
        <v>0</v>
      </c>
      <c r="AL222" s="376">
        <f t="shared" si="129"/>
        <v>0</v>
      </c>
      <c r="AM222" s="376">
        <f t="shared" si="129"/>
        <v>0</v>
      </c>
      <c r="AN222" s="376">
        <f t="shared" si="129"/>
        <v>0</v>
      </c>
      <c r="AO222" s="376">
        <f t="shared" si="129"/>
        <v>0</v>
      </c>
      <c r="AP222" s="376">
        <f t="shared" si="129"/>
        <v>0</v>
      </c>
      <c r="AQ222" s="376">
        <f t="shared" si="129"/>
        <v>0</v>
      </c>
      <c r="AR222" s="376">
        <f t="shared" si="129"/>
        <v>0</v>
      </c>
      <c r="AS222" s="376">
        <f t="shared" si="129"/>
        <v>0</v>
      </c>
      <c r="AT222" s="376">
        <f t="shared" si="129"/>
        <v>0</v>
      </c>
      <c r="AU222" s="376">
        <f t="shared" si="129"/>
        <v>0</v>
      </c>
      <c r="AV222" s="376">
        <f t="shared" si="129"/>
        <v>0</v>
      </c>
      <c r="AW222" s="376">
        <f t="shared" si="129"/>
        <v>0</v>
      </c>
      <c r="AX222" s="376">
        <f t="shared" si="129"/>
        <v>0</v>
      </c>
      <c r="AY222" s="376">
        <f t="shared" si="129"/>
        <v>0</v>
      </c>
      <c r="AZ222" s="376">
        <f t="shared" si="129"/>
        <v>0</v>
      </c>
      <c r="BA222" s="377">
        <f t="shared" si="129"/>
        <v>0</v>
      </c>
    </row>
    <row r="223" spans="1:53" s="246" customFormat="1" ht="24" outlineLevel="1">
      <c r="A223" s="244"/>
      <c r="B223" s="244"/>
      <c r="C223" s="378"/>
      <c r="D223" s="28"/>
      <c r="E223" s="379" t="s">
        <v>702</v>
      </c>
      <c r="F223" s="380" t="s">
        <v>27</v>
      </c>
      <c r="G223" s="380" t="s">
        <v>27</v>
      </c>
      <c r="H223" s="380" t="s">
        <v>27</v>
      </c>
      <c r="I223" s="380" t="s">
        <v>27</v>
      </c>
      <c r="J223" s="380" t="s">
        <v>27</v>
      </c>
      <c r="K223" s="380" t="s">
        <v>27</v>
      </c>
      <c r="L223" s="380" t="s">
        <v>27</v>
      </c>
      <c r="M223" s="380" t="s">
        <v>27</v>
      </c>
      <c r="N223" s="381">
        <f>+IF(N$11&lt;&gt;0,(N69-N$63)*(N$11-N$15-N$111),"x")</f>
        <v>4917388.4382000007</v>
      </c>
      <c r="O223" s="381">
        <f t="shared" ref="O223:BA224" si="130">+IF(O$11&lt;&gt;0,(O69-O$63)*(O$11-O$15-O$111),"x")</f>
        <v>2663821.1224999996</v>
      </c>
      <c r="P223" s="381">
        <f t="shared" si="130"/>
        <v>2438185.2429000004</v>
      </c>
      <c r="Q223" s="381">
        <f t="shared" si="130"/>
        <v>2209590.8243999998</v>
      </c>
      <c r="R223" s="381">
        <f t="shared" si="130"/>
        <v>1807879.9480000003</v>
      </c>
      <c r="S223" s="381">
        <f t="shared" si="130"/>
        <v>1494616.8257000004</v>
      </c>
      <c r="T223" s="381">
        <f t="shared" si="130"/>
        <v>1948833.915</v>
      </c>
      <c r="U223" s="381">
        <f t="shared" si="130"/>
        <v>2380821.0003</v>
      </c>
      <c r="V223" s="381">
        <f t="shared" si="130"/>
        <v>3068231.4650000003</v>
      </c>
      <c r="W223" s="381">
        <f t="shared" si="130"/>
        <v>3629689.5228000004</v>
      </c>
      <c r="X223" s="381">
        <f t="shared" si="130"/>
        <v>4006769.6171999997</v>
      </c>
      <c r="Y223" s="381">
        <f t="shared" si="130"/>
        <v>4596691.6436000001</v>
      </c>
      <c r="Z223" s="381" t="str">
        <f t="shared" si="130"/>
        <v>x</v>
      </c>
      <c r="AA223" s="381" t="str">
        <f t="shared" si="130"/>
        <v>x</v>
      </c>
      <c r="AB223" s="381" t="str">
        <f t="shared" si="130"/>
        <v>x</v>
      </c>
      <c r="AC223" s="381" t="str">
        <f t="shared" si="130"/>
        <v>x</v>
      </c>
      <c r="AD223" s="381" t="str">
        <f t="shared" si="130"/>
        <v>x</v>
      </c>
      <c r="AE223" s="381" t="str">
        <f t="shared" si="130"/>
        <v>x</v>
      </c>
      <c r="AF223" s="381" t="str">
        <f t="shared" si="130"/>
        <v>x</v>
      </c>
      <c r="AG223" s="381" t="str">
        <f t="shared" si="130"/>
        <v>x</v>
      </c>
      <c r="AH223" s="381" t="str">
        <f t="shared" si="130"/>
        <v>x</v>
      </c>
      <c r="AI223" s="381" t="str">
        <f t="shared" si="130"/>
        <v>x</v>
      </c>
      <c r="AJ223" s="381" t="str">
        <f t="shared" si="130"/>
        <v>x</v>
      </c>
      <c r="AK223" s="381" t="str">
        <f t="shared" si="130"/>
        <v>x</v>
      </c>
      <c r="AL223" s="381" t="str">
        <f t="shared" si="130"/>
        <v>x</v>
      </c>
      <c r="AM223" s="381" t="str">
        <f t="shared" si="130"/>
        <v>x</v>
      </c>
      <c r="AN223" s="381" t="str">
        <f t="shared" si="130"/>
        <v>x</v>
      </c>
      <c r="AO223" s="381" t="str">
        <f t="shared" si="130"/>
        <v>x</v>
      </c>
      <c r="AP223" s="381" t="str">
        <f t="shared" si="130"/>
        <v>x</v>
      </c>
      <c r="AQ223" s="381" t="str">
        <f t="shared" si="130"/>
        <v>x</v>
      </c>
      <c r="AR223" s="381" t="str">
        <f t="shared" si="130"/>
        <v>x</v>
      </c>
      <c r="AS223" s="381" t="str">
        <f t="shared" si="130"/>
        <v>x</v>
      </c>
      <c r="AT223" s="381" t="str">
        <f t="shared" si="130"/>
        <v>x</v>
      </c>
      <c r="AU223" s="381" t="str">
        <f t="shared" si="130"/>
        <v>x</v>
      </c>
      <c r="AV223" s="381" t="str">
        <f t="shared" si="130"/>
        <v>x</v>
      </c>
      <c r="AW223" s="381" t="str">
        <f t="shared" si="130"/>
        <v>x</v>
      </c>
      <c r="AX223" s="381" t="str">
        <f t="shared" si="130"/>
        <v>x</v>
      </c>
      <c r="AY223" s="381" t="str">
        <f t="shared" si="130"/>
        <v>x</v>
      </c>
      <c r="AZ223" s="381" t="str">
        <f t="shared" si="130"/>
        <v>x</v>
      </c>
      <c r="BA223" s="382" t="str">
        <f t="shared" si="130"/>
        <v>x</v>
      </c>
    </row>
    <row r="224" spans="1:53" s="246" customFormat="1" ht="24" outlineLevel="1">
      <c r="A224" s="244"/>
      <c r="B224" s="244"/>
      <c r="C224" s="378"/>
      <c r="D224" s="28"/>
      <c r="E224" s="383" t="s">
        <v>703</v>
      </c>
      <c r="F224" s="384" t="s">
        <v>27</v>
      </c>
      <c r="G224" s="384" t="s">
        <v>27</v>
      </c>
      <c r="H224" s="384" t="s">
        <v>27</v>
      </c>
      <c r="I224" s="384" t="s">
        <v>27</v>
      </c>
      <c r="J224" s="384" t="s">
        <v>27</v>
      </c>
      <c r="K224" s="384" t="s">
        <v>27</v>
      </c>
      <c r="L224" s="384" t="s">
        <v>27</v>
      </c>
      <c r="M224" s="384" t="s">
        <v>27</v>
      </c>
      <c r="N224" s="376">
        <f>+IF(N$11&lt;&gt;0,(N70-N$63)*(N$11-N$15-N$111),"x")</f>
        <v>5941399.9134</v>
      </c>
      <c r="O224" s="376">
        <f t="shared" si="130"/>
        <v>3742123.8899999997</v>
      </c>
      <c r="P224" s="376">
        <f t="shared" si="130"/>
        <v>3554228.5677999994</v>
      </c>
      <c r="Q224" s="376">
        <f t="shared" si="130"/>
        <v>3368720.4372</v>
      </c>
      <c r="R224" s="376">
        <f t="shared" si="130"/>
        <v>2516035.6879999996</v>
      </c>
      <c r="S224" s="376">
        <f t="shared" si="130"/>
        <v>2226849.8526999997</v>
      </c>
      <c r="T224" s="376">
        <f t="shared" si="130"/>
        <v>2705230.64</v>
      </c>
      <c r="U224" s="376">
        <f t="shared" si="130"/>
        <v>2380821.0003</v>
      </c>
      <c r="V224" s="376">
        <f t="shared" si="130"/>
        <v>3068231.4650000003</v>
      </c>
      <c r="W224" s="376">
        <f t="shared" si="130"/>
        <v>3629689.5228000004</v>
      </c>
      <c r="X224" s="376">
        <f t="shared" si="130"/>
        <v>4006769.6171999997</v>
      </c>
      <c r="Y224" s="376">
        <f t="shared" si="130"/>
        <v>4596691.6436000001</v>
      </c>
      <c r="Z224" s="376" t="str">
        <f t="shared" si="130"/>
        <v>x</v>
      </c>
      <c r="AA224" s="376" t="str">
        <f t="shared" si="130"/>
        <v>x</v>
      </c>
      <c r="AB224" s="376" t="str">
        <f t="shared" si="130"/>
        <v>x</v>
      </c>
      <c r="AC224" s="376" t="str">
        <f t="shared" si="130"/>
        <v>x</v>
      </c>
      <c r="AD224" s="376" t="str">
        <f t="shared" si="130"/>
        <v>x</v>
      </c>
      <c r="AE224" s="376" t="str">
        <f t="shared" si="130"/>
        <v>x</v>
      </c>
      <c r="AF224" s="376" t="str">
        <f t="shared" si="130"/>
        <v>x</v>
      </c>
      <c r="AG224" s="376" t="str">
        <f t="shared" si="130"/>
        <v>x</v>
      </c>
      <c r="AH224" s="376" t="str">
        <f t="shared" si="130"/>
        <v>x</v>
      </c>
      <c r="AI224" s="376" t="str">
        <f t="shared" si="130"/>
        <v>x</v>
      </c>
      <c r="AJ224" s="376" t="str">
        <f t="shared" si="130"/>
        <v>x</v>
      </c>
      <c r="AK224" s="376" t="str">
        <f t="shared" si="130"/>
        <v>x</v>
      </c>
      <c r="AL224" s="376" t="str">
        <f t="shared" si="130"/>
        <v>x</v>
      </c>
      <c r="AM224" s="376" t="str">
        <f t="shared" si="130"/>
        <v>x</v>
      </c>
      <c r="AN224" s="376" t="str">
        <f t="shared" si="130"/>
        <v>x</v>
      </c>
      <c r="AO224" s="376" t="str">
        <f t="shared" si="130"/>
        <v>x</v>
      </c>
      <c r="AP224" s="376" t="str">
        <f t="shared" si="130"/>
        <v>x</v>
      </c>
      <c r="AQ224" s="376" t="str">
        <f t="shared" si="130"/>
        <v>x</v>
      </c>
      <c r="AR224" s="376" t="str">
        <f t="shared" si="130"/>
        <v>x</v>
      </c>
      <c r="AS224" s="376" t="str">
        <f t="shared" si="130"/>
        <v>x</v>
      </c>
      <c r="AT224" s="376" t="str">
        <f t="shared" si="130"/>
        <v>x</v>
      </c>
      <c r="AU224" s="376" t="str">
        <f t="shared" si="130"/>
        <v>x</v>
      </c>
      <c r="AV224" s="376" t="str">
        <f t="shared" si="130"/>
        <v>x</v>
      </c>
      <c r="AW224" s="376" t="str">
        <f t="shared" si="130"/>
        <v>x</v>
      </c>
      <c r="AX224" s="376" t="str">
        <f t="shared" si="130"/>
        <v>x</v>
      </c>
      <c r="AY224" s="376" t="str">
        <f t="shared" si="130"/>
        <v>x</v>
      </c>
      <c r="AZ224" s="376" t="str">
        <f t="shared" si="130"/>
        <v>x</v>
      </c>
      <c r="BA224" s="377" t="str">
        <f t="shared" si="130"/>
        <v>x</v>
      </c>
    </row>
    <row r="225" spans="1:53" s="246" customFormat="1" ht="15" outlineLevel="1">
      <c r="A225" s="244"/>
      <c r="B225" s="244"/>
      <c r="C225" s="378"/>
      <c r="D225" s="28"/>
      <c r="E225" s="385" t="s">
        <v>611</v>
      </c>
      <c r="F225" s="385"/>
      <c r="G225" s="385"/>
      <c r="H225" s="385"/>
      <c r="I225" s="385"/>
      <c r="J225" s="386"/>
      <c r="K225" s="386"/>
      <c r="L225" s="386"/>
      <c r="M225" s="386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7"/>
      <c r="AP225" s="387"/>
      <c r="AQ225" s="387"/>
      <c r="AR225" s="387"/>
      <c r="AS225" s="387"/>
      <c r="AT225" s="387"/>
      <c r="AU225" s="387"/>
      <c r="AV225" s="387"/>
      <c r="AW225" s="387"/>
      <c r="AX225" s="387"/>
      <c r="AY225" s="387"/>
      <c r="AZ225" s="387"/>
      <c r="BA225" s="387"/>
    </row>
    <row r="226" spans="1:53" s="246" customFormat="1" ht="15" outlineLevel="1">
      <c r="A226" s="244"/>
      <c r="B226" s="244"/>
      <c r="C226" s="378"/>
      <c r="D226" s="28"/>
      <c r="E226" s="366" t="s">
        <v>612</v>
      </c>
      <c r="F226" s="388">
        <f>+IF(F10&lt;&gt;0,ROUND(F11/F10,4),0)</f>
        <v>0.90249999999999997</v>
      </c>
      <c r="G226" s="388">
        <f>+IF(G10&lt;&gt;0,ROUND(G11/G10,4),0)</f>
        <v>0.85770000000000002</v>
      </c>
      <c r="H226" s="388">
        <f>+IF(H10&lt;&gt;0,ROUND(H11/H10,4),0)</f>
        <v>0.9</v>
      </c>
      <c r="I226" s="388">
        <f>+IF(I10&lt;&gt;0,ROUND(I11/I10,4),0)</f>
        <v>0.81430000000000002</v>
      </c>
      <c r="J226" s="388">
        <f>+IF(J10&lt;&gt;0,ROUND(J11/J10,4),0)</f>
        <v>0.77129999999999999</v>
      </c>
      <c r="K226" s="388">
        <f t="shared" ref="K226:BA226" si="131">+IF(K10&lt;&gt;0,ROUND(K11/K10,4),0)</f>
        <v>0.76629999999999998</v>
      </c>
      <c r="L226" s="388">
        <f t="shared" si="131"/>
        <v>0.89880000000000004</v>
      </c>
      <c r="M226" s="388">
        <f t="shared" si="131"/>
        <v>0.83289999999999997</v>
      </c>
      <c r="N226" s="388">
        <f t="shared" si="131"/>
        <v>0.82189999999999996</v>
      </c>
      <c r="O226" s="388">
        <f t="shared" si="131"/>
        <v>0.69789999999999996</v>
      </c>
      <c r="P226" s="388">
        <f t="shared" si="131"/>
        <v>0.99070000000000003</v>
      </c>
      <c r="Q226" s="388">
        <f t="shared" si="131"/>
        <v>0.99099999999999999</v>
      </c>
      <c r="R226" s="388">
        <f t="shared" si="131"/>
        <v>0.99129999999999996</v>
      </c>
      <c r="S226" s="388">
        <f t="shared" si="131"/>
        <v>0.99160000000000004</v>
      </c>
      <c r="T226" s="388">
        <f t="shared" si="131"/>
        <v>0.9919</v>
      </c>
      <c r="U226" s="388">
        <f t="shared" si="131"/>
        <v>0.99209999999999998</v>
      </c>
      <c r="V226" s="388">
        <f t="shared" si="131"/>
        <v>0.99229999999999996</v>
      </c>
      <c r="W226" s="388">
        <f t="shared" si="131"/>
        <v>0.99250000000000005</v>
      </c>
      <c r="X226" s="388">
        <f t="shared" si="131"/>
        <v>1</v>
      </c>
      <c r="Y226" s="388">
        <f t="shared" si="131"/>
        <v>1</v>
      </c>
      <c r="Z226" s="388">
        <f t="shared" si="131"/>
        <v>0</v>
      </c>
      <c r="AA226" s="388">
        <f t="shared" si="131"/>
        <v>0</v>
      </c>
      <c r="AB226" s="388">
        <f t="shared" si="131"/>
        <v>0</v>
      </c>
      <c r="AC226" s="388">
        <f t="shared" si="131"/>
        <v>0</v>
      </c>
      <c r="AD226" s="388">
        <f t="shared" si="131"/>
        <v>0</v>
      </c>
      <c r="AE226" s="388">
        <f t="shared" si="131"/>
        <v>0</v>
      </c>
      <c r="AF226" s="388">
        <f t="shared" si="131"/>
        <v>0</v>
      </c>
      <c r="AG226" s="388">
        <f t="shared" si="131"/>
        <v>0</v>
      </c>
      <c r="AH226" s="388">
        <f t="shared" si="131"/>
        <v>0</v>
      </c>
      <c r="AI226" s="388">
        <f t="shared" si="131"/>
        <v>0</v>
      </c>
      <c r="AJ226" s="388">
        <f t="shared" si="131"/>
        <v>0</v>
      </c>
      <c r="AK226" s="388">
        <f t="shared" si="131"/>
        <v>0</v>
      </c>
      <c r="AL226" s="388">
        <f t="shared" si="131"/>
        <v>0</v>
      </c>
      <c r="AM226" s="388">
        <f t="shared" si="131"/>
        <v>0</v>
      </c>
      <c r="AN226" s="388">
        <f t="shared" si="131"/>
        <v>0</v>
      </c>
      <c r="AO226" s="388">
        <f t="shared" si="131"/>
        <v>0</v>
      </c>
      <c r="AP226" s="388">
        <f t="shared" si="131"/>
        <v>0</v>
      </c>
      <c r="AQ226" s="388">
        <f t="shared" si="131"/>
        <v>0</v>
      </c>
      <c r="AR226" s="388">
        <f t="shared" si="131"/>
        <v>0</v>
      </c>
      <c r="AS226" s="388">
        <f t="shared" si="131"/>
        <v>0</v>
      </c>
      <c r="AT226" s="388">
        <f t="shared" si="131"/>
        <v>0</v>
      </c>
      <c r="AU226" s="388">
        <f t="shared" si="131"/>
        <v>0</v>
      </c>
      <c r="AV226" s="388">
        <f t="shared" si="131"/>
        <v>0</v>
      </c>
      <c r="AW226" s="388">
        <f t="shared" si="131"/>
        <v>0</v>
      </c>
      <c r="AX226" s="388">
        <f t="shared" si="131"/>
        <v>0</v>
      </c>
      <c r="AY226" s="388">
        <f t="shared" si="131"/>
        <v>0</v>
      </c>
      <c r="AZ226" s="388">
        <f t="shared" si="131"/>
        <v>0</v>
      </c>
      <c r="BA226" s="389">
        <f t="shared" si="131"/>
        <v>0</v>
      </c>
    </row>
    <row r="227" spans="1:53" s="246" customFormat="1" ht="15" outlineLevel="1">
      <c r="A227" s="244"/>
      <c r="B227" s="244"/>
      <c r="C227" s="378"/>
      <c r="D227" s="28"/>
      <c r="E227" s="369" t="s">
        <v>613</v>
      </c>
      <c r="F227" s="390">
        <f>+IF(F11&lt;&gt;0,ROUND((F12+F13)/F11,4),0)</f>
        <v>0.2923</v>
      </c>
      <c r="G227" s="390">
        <f>+IF(G11&lt;&gt;0,ROUND((G12+G13)/G11,4),0)</f>
        <v>0.31990000000000002</v>
      </c>
      <c r="H227" s="390">
        <f>+IF(H11&lt;&gt;0,ROUND((H12+H13)/H11,4),0)</f>
        <v>0.32240000000000002</v>
      </c>
      <c r="I227" s="390">
        <f>+IF(I11&lt;&gt;0,ROUND((I12+I13)/I11,4),0)</f>
        <v>0.34970000000000001</v>
      </c>
      <c r="J227" s="390">
        <f>+IF(J11&lt;&gt;0,ROUND((J12+J13)/J11,4),0)</f>
        <v>0.36449999999999999</v>
      </c>
      <c r="K227" s="390">
        <f t="shared" ref="K227:BA227" si="132">+IF(K11&lt;&gt;0,ROUND((K12+K13)/K11,4),0)</f>
        <v>0.33979999999999999</v>
      </c>
      <c r="L227" s="390">
        <f t="shared" si="132"/>
        <v>0.33600000000000002</v>
      </c>
      <c r="M227" s="390">
        <f t="shared" si="132"/>
        <v>0.3332</v>
      </c>
      <c r="N227" s="390">
        <f t="shared" si="132"/>
        <v>0.3271</v>
      </c>
      <c r="O227" s="390">
        <f t="shared" si="132"/>
        <v>0.32940000000000003</v>
      </c>
      <c r="P227" s="390">
        <f t="shared" si="132"/>
        <v>0.32940000000000003</v>
      </c>
      <c r="Q227" s="390">
        <f t="shared" si="132"/>
        <v>0.32940000000000003</v>
      </c>
      <c r="R227" s="390">
        <f t="shared" si="132"/>
        <v>0.32940000000000003</v>
      </c>
      <c r="S227" s="390">
        <f t="shared" si="132"/>
        <v>0.32940000000000003</v>
      </c>
      <c r="T227" s="390">
        <f t="shared" si="132"/>
        <v>0.32940000000000003</v>
      </c>
      <c r="U227" s="390">
        <f t="shared" si="132"/>
        <v>0.32940000000000003</v>
      </c>
      <c r="V227" s="390">
        <f t="shared" si="132"/>
        <v>0.32940000000000003</v>
      </c>
      <c r="W227" s="390">
        <f t="shared" si="132"/>
        <v>0.32940000000000003</v>
      </c>
      <c r="X227" s="390">
        <f t="shared" si="132"/>
        <v>0.32940000000000003</v>
      </c>
      <c r="Y227" s="390">
        <f t="shared" si="132"/>
        <v>0.32940000000000003</v>
      </c>
      <c r="Z227" s="390">
        <f t="shared" si="132"/>
        <v>0</v>
      </c>
      <c r="AA227" s="390">
        <f t="shared" si="132"/>
        <v>0</v>
      </c>
      <c r="AB227" s="390">
        <f t="shared" si="132"/>
        <v>0</v>
      </c>
      <c r="AC227" s="390">
        <f t="shared" si="132"/>
        <v>0</v>
      </c>
      <c r="AD227" s="390">
        <f t="shared" si="132"/>
        <v>0</v>
      </c>
      <c r="AE227" s="390">
        <f t="shared" si="132"/>
        <v>0</v>
      </c>
      <c r="AF227" s="390">
        <f t="shared" si="132"/>
        <v>0</v>
      </c>
      <c r="AG227" s="390">
        <f t="shared" si="132"/>
        <v>0</v>
      </c>
      <c r="AH227" s="390">
        <f t="shared" si="132"/>
        <v>0</v>
      </c>
      <c r="AI227" s="390">
        <f t="shared" si="132"/>
        <v>0</v>
      </c>
      <c r="AJ227" s="390">
        <f t="shared" si="132"/>
        <v>0</v>
      </c>
      <c r="AK227" s="390">
        <f t="shared" si="132"/>
        <v>0</v>
      </c>
      <c r="AL227" s="390">
        <f t="shared" si="132"/>
        <v>0</v>
      </c>
      <c r="AM227" s="390">
        <f t="shared" si="132"/>
        <v>0</v>
      </c>
      <c r="AN227" s="390">
        <f t="shared" si="132"/>
        <v>0</v>
      </c>
      <c r="AO227" s="390">
        <f t="shared" si="132"/>
        <v>0</v>
      </c>
      <c r="AP227" s="390">
        <f t="shared" si="132"/>
        <v>0</v>
      </c>
      <c r="AQ227" s="390">
        <f t="shared" si="132"/>
        <v>0</v>
      </c>
      <c r="AR227" s="390">
        <f t="shared" si="132"/>
        <v>0</v>
      </c>
      <c r="AS227" s="390">
        <f t="shared" si="132"/>
        <v>0</v>
      </c>
      <c r="AT227" s="390">
        <f t="shared" si="132"/>
        <v>0</v>
      </c>
      <c r="AU227" s="390">
        <f t="shared" si="132"/>
        <v>0</v>
      </c>
      <c r="AV227" s="390">
        <f t="shared" si="132"/>
        <v>0</v>
      </c>
      <c r="AW227" s="390">
        <f t="shared" si="132"/>
        <v>0</v>
      </c>
      <c r="AX227" s="390">
        <f t="shared" si="132"/>
        <v>0</v>
      </c>
      <c r="AY227" s="390">
        <f t="shared" si="132"/>
        <v>0</v>
      </c>
      <c r="AZ227" s="390">
        <f t="shared" si="132"/>
        <v>0</v>
      </c>
      <c r="BA227" s="391">
        <f t="shared" si="132"/>
        <v>0</v>
      </c>
    </row>
    <row r="228" spans="1:53" s="246" customFormat="1" ht="24" outlineLevel="1">
      <c r="A228" s="244"/>
      <c r="B228" s="244"/>
      <c r="C228" s="378"/>
      <c r="D228" s="28"/>
      <c r="E228" s="392" t="s">
        <v>614</v>
      </c>
      <c r="F228" s="390">
        <f>+IF(F11&lt;&gt;0,ROUND((F12+F13+F14+F15)/F11,4),0)</f>
        <v>0.90969999999999995</v>
      </c>
      <c r="G228" s="390">
        <f>+IF(G11&lt;&gt;0,ROUND((G12+G13+G14+G15)/G11,4),0)</f>
        <v>0.90559999999999996</v>
      </c>
      <c r="H228" s="390">
        <f>+IF(H11&lt;&gt;0,ROUND((H12+H13+H14+H15)/H11,4),0)</f>
        <v>0.90449999999999997</v>
      </c>
      <c r="I228" s="390">
        <f>+IF(I11&lt;&gt;0,ROUND((I12+I13+I14+I15)/I11,4),0)</f>
        <v>0.90949999999999998</v>
      </c>
      <c r="J228" s="390">
        <f>+IF(J11&lt;&gt;0,ROUND((J12+J13+J14+J15)/J11,4),0)</f>
        <v>0.91349999999999998</v>
      </c>
      <c r="K228" s="390">
        <f t="shared" ref="K228:BA228" si="133">+IF(K11&lt;&gt;0,ROUND((K12+K13+K14+K15)/K11,4),0)</f>
        <v>0.92130000000000001</v>
      </c>
      <c r="L228" s="390">
        <f t="shared" si="133"/>
        <v>0.91459999999999997</v>
      </c>
      <c r="M228" s="390">
        <f t="shared" si="133"/>
        <v>0.90280000000000005</v>
      </c>
      <c r="N228" s="390">
        <f t="shared" si="133"/>
        <v>0.92569999999999997</v>
      </c>
      <c r="O228" s="390">
        <f t="shared" si="133"/>
        <v>0.91159999999999997</v>
      </c>
      <c r="P228" s="390">
        <f t="shared" si="133"/>
        <v>0.91159999999999997</v>
      </c>
      <c r="Q228" s="390">
        <f t="shared" si="133"/>
        <v>0.91159999999999997</v>
      </c>
      <c r="R228" s="390">
        <f t="shared" si="133"/>
        <v>0.91159999999999997</v>
      </c>
      <c r="S228" s="390">
        <f t="shared" si="133"/>
        <v>0.91159999999999997</v>
      </c>
      <c r="T228" s="390">
        <f t="shared" si="133"/>
        <v>0.91159999999999997</v>
      </c>
      <c r="U228" s="390">
        <f t="shared" si="133"/>
        <v>0.91159999999999997</v>
      </c>
      <c r="V228" s="390">
        <f t="shared" si="133"/>
        <v>0.91159999999999997</v>
      </c>
      <c r="W228" s="390">
        <f t="shared" si="133"/>
        <v>0.91159999999999997</v>
      </c>
      <c r="X228" s="390">
        <f t="shared" si="133"/>
        <v>0.91159999999999997</v>
      </c>
      <c r="Y228" s="390">
        <f t="shared" si="133"/>
        <v>0.91159999999999997</v>
      </c>
      <c r="Z228" s="390">
        <f t="shared" si="133"/>
        <v>0</v>
      </c>
      <c r="AA228" s="390">
        <f t="shared" si="133"/>
        <v>0</v>
      </c>
      <c r="AB228" s="390">
        <f t="shared" si="133"/>
        <v>0</v>
      </c>
      <c r="AC228" s="390">
        <f t="shared" si="133"/>
        <v>0</v>
      </c>
      <c r="AD228" s="390">
        <f t="shared" si="133"/>
        <v>0</v>
      </c>
      <c r="AE228" s="390">
        <f t="shared" si="133"/>
        <v>0</v>
      </c>
      <c r="AF228" s="390">
        <f t="shared" si="133"/>
        <v>0</v>
      </c>
      <c r="AG228" s="390">
        <f t="shared" si="133"/>
        <v>0</v>
      </c>
      <c r="AH228" s="390">
        <f t="shared" si="133"/>
        <v>0</v>
      </c>
      <c r="AI228" s="390">
        <f t="shared" si="133"/>
        <v>0</v>
      </c>
      <c r="AJ228" s="390">
        <f t="shared" si="133"/>
        <v>0</v>
      </c>
      <c r="AK228" s="390">
        <f t="shared" si="133"/>
        <v>0</v>
      </c>
      <c r="AL228" s="390">
        <f t="shared" si="133"/>
        <v>0</v>
      </c>
      <c r="AM228" s="390">
        <f t="shared" si="133"/>
        <v>0</v>
      </c>
      <c r="AN228" s="390">
        <f t="shared" si="133"/>
        <v>0</v>
      </c>
      <c r="AO228" s="390">
        <f t="shared" si="133"/>
        <v>0</v>
      </c>
      <c r="AP228" s="390">
        <f t="shared" si="133"/>
        <v>0</v>
      </c>
      <c r="AQ228" s="390">
        <f t="shared" si="133"/>
        <v>0</v>
      </c>
      <c r="AR228" s="390">
        <f t="shared" si="133"/>
        <v>0</v>
      </c>
      <c r="AS228" s="390">
        <f t="shared" si="133"/>
        <v>0</v>
      </c>
      <c r="AT228" s="390">
        <f t="shared" si="133"/>
        <v>0</v>
      </c>
      <c r="AU228" s="390">
        <f t="shared" si="133"/>
        <v>0</v>
      </c>
      <c r="AV228" s="390">
        <f t="shared" si="133"/>
        <v>0</v>
      </c>
      <c r="AW228" s="390">
        <f t="shared" si="133"/>
        <v>0</v>
      </c>
      <c r="AX228" s="390">
        <f t="shared" si="133"/>
        <v>0</v>
      </c>
      <c r="AY228" s="390">
        <f t="shared" si="133"/>
        <v>0</v>
      </c>
      <c r="AZ228" s="390">
        <f t="shared" si="133"/>
        <v>0</v>
      </c>
      <c r="BA228" s="391">
        <f t="shared" si="133"/>
        <v>0</v>
      </c>
    </row>
    <row r="229" spans="1:53" s="246" customFormat="1" ht="15" outlineLevel="1">
      <c r="A229" s="244"/>
      <c r="B229" s="244"/>
      <c r="C229" s="378"/>
      <c r="D229" s="28"/>
      <c r="E229" s="369" t="s">
        <v>615</v>
      </c>
      <c r="F229" s="390">
        <f>+IF(F10&lt;&gt;0,ROUND(F18/F10,4),0)</f>
        <v>9.7500000000000003E-2</v>
      </c>
      <c r="G229" s="390">
        <f>+IF(G10&lt;&gt;0,ROUND(G18/G10,4),0)</f>
        <v>0.14230000000000001</v>
      </c>
      <c r="H229" s="390">
        <f>+IF(H10&lt;&gt;0,ROUND(H18/H10,4),0)</f>
        <v>0.1</v>
      </c>
      <c r="I229" s="390">
        <f>+IF(I10&lt;&gt;0,ROUND(I18/I10,4),0)</f>
        <v>0.1857</v>
      </c>
      <c r="J229" s="390">
        <f>+IF(J10&lt;&gt;0,ROUND(J18/J10,4),0)</f>
        <v>0.22869999999999999</v>
      </c>
      <c r="K229" s="390">
        <f t="shared" ref="K229:BA229" si="134">+IF(K10&lt;&gt;0,ROUND(K18/K10,4),0)</f>
        <v>0.23369999999999999</v>
      </c>
      <c r="L229" s="390">
        <f t="shared" si="134"/>
        <v>0.1012</v>
      </c>
      <c r="M229" s="390">
        <f t="shared" si="134"/>
        <v>0.1671</v>
      </c>
      <c r="N229" s="390">
        <f t="shared" si="134"/>
        <v>0.17810000000000001</v>
      </c>
      <c r="O229" s="390">
        <f t="shared" si="134"/>
        <v>0.30209999999999998</v>
      </c>
      <c r="P229" s="390">
        <f t="shared" si="134"/>
        <v>9.2999999999999992E-3</v>
      </c>
      <c r="Q229" s="390">
        <f t="shared" si="134"/>
        <v>8.9999999999999993E-3</v>
      </c>
      <c r="R229" s="390">
        <f t="shared" si="134"/>
        <v>8.6999999999999994E-3</v>
      </c>
      <c r="S229" s="390">
        <f t="shared" si="134"/>
        <v>8.3999999999999995E-3</v>
      </c>
      <c r="T229" s="390">
        <f t="shared" si="134"/>
        <v>8.0999999999999996E-3</v>
      </c>
      <c r="U229" s="390">
        <f t="shared" si="134"/>
        <v>7.9000000000000008E-3</v>
      </c>
      <c r="V229" s="390">
        <f t="shared" si="134"/>
        <v>7.7000000000000002E-3</v>
      </c>
      <c r="W229" s="390">
        <f t="shared" si="134"/>
        <v>7.4999999999999997E-3</v>
      </c>
      <c r="X229" s="390">
        <f t="shared" si="134"/>
        <v>0</v>
      </c>
      <c r="Y229" s="390">
        <f t="shared" si="134"/>
        <v>0</v>
      </c>
      <c r="Z229" s="390">
        <f t="shared" si="134"/>
        <v>0</v>
      </c>
      <c r="AA229" s="390">
        <f t="shared" si="134"/>
        <v>0</v>
      </c>
      <c r="AB229" s="390">
        <f t="shared" si="134"/>
        <v>0</v>
      </c>
      <c r="AC229" s="390">
        <f t="shared" si="134"/>
        <v>0</v>
      </c>
      <c r="AD229" s="390">
        <f t="shared" si="134"/>
        <v>0</v>
      </c>
      <c r="AE229" s="390">
        <f t="shared" si="134"/>
        <v>0</v>
      </c>
      <c r="AF229" s="390">
        <f t="shared" si="134"/>
        <v>0</v>
      </c>
      <c r="AG229" s="390">
        <f t="shared" si="134"/>
        <v>0</v>
      </c>
      <c r="AH229" s="390">
        <f t="shared" si="134"/>
        <v>0</v>
      </c>
      <c r="AI229" s="390">
        <f t="shared" si="134"/>
        <v>0</v>
      </c>
      <c r="AJ229" s="390">
        <f t="shared" si="134"/>
        <v>0</v>
      </c>
      <c r="AK229" s="390">
        <f t="shared" si="134"/>
        <v>0</v>
      </c>
      <c r="AL229" s="390">
        <f t="shared" si="134"/>
        <v>0</v>
      </c>
      <c r="AM229" s="390">
        <f t="shared" si="134"/>
        <v>0</v>
      </c>
      <c r="AN229" s="390">
        <f t="shared" si="134"/>
        <v>0</v>
      </c>
      <c r="AO229" s="390">
        <f t="shared" si="134"/>
        <v>0</v>
      </c>
      <c r="AP229" s="390">
        <f t="shared" si="134"/>
        <v>0</v>
      </c>
      <c r="AQ229" s="390">
        <f t="shared" si="134"/>
        <v>0</v>
      </c>
      <c r="AR229" s="390">
        <f t="shared" si="134"/>
        <v>0</v>
      </c>
      <c r="AS229" s="390">
        <f t="shared" si="134"/>
        <v>0</v>
      </c>
      <c r="AT229" s="390">
        <f t="shared" si="134"/>
        <v>0</v>
      </c>
      <c r="AU229" s="390">
        <f t="shared" si="134"/>
        <v>0</v>
      </c>
      <c r="AV229" s="390">
        <f t="shared" si="134"/>
        <v>0</v>
      </c>
      <c r="AW229" s="390">
        <f t="shared" si="134"/>
        <v>0</v>
      </c>
      <c r="AX229" s="390">
        <f t="shared" si="134"/>
        <v>0</v>
      </c>
      <c r="AY229" s="390">
        <f t="shared" si="134"/>
        <v>0</v>
      </c>
      <c r="AZ229" s="390">
        <f t="shared" si="134"/>
        <v>0</v>
      </c>
      <c r="BA229" s="391">
        <f t="shared" si="134"/>
        <v>0</v>
      </c>
    </row>
    <row r="230" spans="1:53" s="246" customFormat="1" outlineLevel="1">
      <c r="A230" s="244"/>
      <c r="B230" s="244"/>
      <c r="C230" s="311"/>
      <c r="D230" s="311"/>
      <c r="E230" s="392" t="s">
        <v>692</v>
      </c>
      <c r="F230" s="390">
        <f>+IF(F18&lt;&gt;0,ROUND(F19/F18,4),0)</f>
        <v>1.77E-2</v>
      </c>
      <c r="G230" s="390">
        <f>+IF(G18&lt;&gt;0,ROUND(G19/G18,4),0)</f>
        <v>1.2999999999999999E-2</v>
      </c>
      <c r="H230" s="390">
        <f>+IF(H18&lt;&gt;0,ROUND(H19/H18,4),0)</f>
        <v>1.2999999999999999E-2</v>
      </c>
      <c r="I230" s="390">
        <f>+IF(I18&lt;&gt;0,ROUND(I19/I18,4),0)</f>
        <v>0.1399</v>
      </c>
      <c r="J230" s="390">
        <f>+IF(J18&lt;&gt;0,ROUND(J19/J18,4),0)</f>
        <v>2.7000000000000001E-3</v>
      </c>
      <c r="K230" s="390">
        <f t="shared" ref="K230:BA230" si="135">+IF(K18&lt;&gt;0,ROUND(K19/K18,4),0)</f>
        <v>2.8E-3</v>
      </c>
      <c r="L230" s="390">
        <f t="shared" si="135"/>
        <v>5.1999999999999998E-3</v>
      </c>
      <c r="M230" s="390">
        <f t="shared" si="135"/>
        <v>0.30740000000000001</v>
      </c>
      <c r="N230" s="390">
        <f t="shared" si="135"/>
        <v>2.7000000000000001E-3</v>
      </c>
      <c r="O230" s="390">
        <f t="shared" si="135"/>
        <v>0</v>
      </c>
      <c r="P230" s="390">
        <f t="shared" si="135"/>
        <v>0</v>
      </c>
      <c r="Q230" s="390">
        <f t="shared" si="135"/>
        <v>0</v>
      </c>
      <c r="R230" s="390">
        <f t="shared" si="135"/>
        <v>0</v>
      </c>
      <c r="S230" s="390">
        <f t="shared" si="135"/>
        <v>0</v>
      </c>
      <c r="T230" s="390">
        <f t="shared" si="135"/>
        <v>0</v>
      </c>
      <c r="U230" s="390">
        <f t="shared" si="135"/>
        <v>0</v>
      </c>
      <c r="V230" s="390">
        <f t="shared" si="135"/>
        <v>0</v>
      </c>
      <c r="W230" s="390">
        <f t="shared" si="135"/>
        <v>0</v>
      </c>
      <c r="X230" s="390">
        <f t="shared" si="135"/>
        <v>0</v>
      </c>
      <c r="Y230" s="390">
        <f t="shared" si="135"/>
        <v>0</v>
      </c>
      <c r="Z230" s="390">
        <f t="shared" si="135"/>
        <v>0</v>
      </c>
      <c r="AA230" s="390">
        <f t="shared" si="135"/>
        <v>0</v>
      </c>
      <c r="AB230" s="390">
        <f t="shared" si="135"/>
        <v>0</v>
      </c>
      <c r="AC230" s="390">
        <f t="shared" si="135"/>
        <v>0</v>
      </c>
      <c r="AD230" s="390">
        <f t="shared" si="135"/>
        <v>0</v>
      </c>
      <c r="AE230" s="390">
        <f t="shared" si="135"/>
        <v>0</v>
      </c>
      <c r="AF230" s="390">
        <f t="shared" si="135"/>
        <v>0</v>
      </c>
      <c r="AG230" s="390">
        <f t="shared" si="135"/>
        <v>0</v>
      </c>
      <c r="AH230" s="390">
        <f t="shared" si="135"/>
        <v>0</v>
      </c>
      <c r="AI230" s="390">
        <f t="shared" si="135"/>
        <v>0</v>
      </c>
      <c r="AJ230" s="390">
        <f t="shared" si="135"/>
        <v>0</v>
      </c>
      <c r="AK230" s="390">
        <f t="shared" si="135"/>
        <v>0</v>
      </c>
      <c r="AL230" s="390">
        <f t="shared" si="135"/>
        <v>0</v>
      </c>
      <c r="AM230" s="390">
        <f t="shared" si="135"/>
        <v>0</v>
      </c>
      <c r="AN230" s="390">
        <f t="shared" si="135"/>
        <v>0</v>
      </c>
      <c r="AO230" s="390">
        <f t="shared" si="135"/>
        <v>0</v>
      </c>
      <c r="AP230" s="390">
        <f t="shared" si="135"/>
        <v>0</v>
      </c>
      <c r="AQ230" s="390">
        <f t="shared" si="135"/>
        <v>0</v>
      </c>
      <c r="AR230" s="390">
        <f t="shared" si="135"/>
        <v>0</v>
      </c>
      <c r="AS230" s="390">
        <f t="shared" si="135"/>
        <v>0</v>
      </c>
      <c r="AT230" s="390">
        <f t="shared" si="135"/>
        <v>0</v>
      </c>
      <c r="AU230" s="390">
        <f t="shared" si="135"/>
        <v>0</v>
      </c>
      <c r="AV230" s="390">
        <f t="shared" si="135"/>
        <v>0</v>
      </c>
      <c r="AW230" s="390">
        <f t="shared" si="135"/>
        <v>0</v>
      </c>
      <c r="AX230" s="390">
        <f t="shared" si="135"/>
        <v>0</v>
      </c>
      <c r="AY230" s="390">
        <f t="shared" si="135"/>
        <v>0</v>
      </c>
      <c r="AZ230" s="390">
        <f t="shared" si="135"/>
        <v>0</v>
      </c>
      <c r="BA230" s="391">
        <f t="shared" si="135"/>
        <v>0</v>
      </c>
    </row>
    <row r="231" spans="1:53" s="246" customFormat="1" outlineLevel="1">
      <c r="A231" s="244"/>
      <c r="B231" s="244"/>
      <c r="C231" s="1"/>
      <c r="D231" s="1"/>
      <c r="E231" s="369" t="s">
        <v>616</v>
      </c>
      <c r="F231" s="390">
        <f>+IF(F21&lt;&gt;0,ROUND(F22/F21,4),0)</f>
        <v>0.82369999999999999</v>
      </c>
      <c r="G231" s="390">
        <f>+IF(G21&lt;&gt;0,ROUND(G22/G21,4),0)</f>
        <v>0.79239999999999999</v>
      </c>
      <c r="H231" s="390">
        <f>+IF(H21&lt;&gt;0,ROUND(H22/H21,4),0)</f>
        <v>0.83860000000000001</v>
      </c>
      <c r="I231" s="390">
        <f>+IF(I21&lt;&gt;0,ROUND(I22/I21,4),0)</f>
        <v>0.74039999999999995</v>
      </c>
      <c r="J231" s="390">
        <f>+IF(J21&lt;&gt;0,ROUND(J22/J21,4),0)</f>
        <v>0.73670000000000002</v>
      </c>
      <c r="K231" s="390">
        <f t="shared" ref="K231:BA231" si="136">+IF(K21&lt;&gt;0,ROUND(K22/K21,4),0)</f>
        <v>0.73780000000000001</v>
      </c>
      <c r="L231" s="390">
        <f t="shared" si="136"/>
        <v>0.72330000000000005</v>
      </c>
      <c r="M231" s="390">
        <f t="shared" si="136"/>
        <v>0.75490000000000002</v>
      </c>
      <c r="N231" s="390">
        <f t="shared" si="136"/>
        <v>0.64800000000000002</v>
      </c>
      <c r="O231" s="390">
        <f t="shared" si="136"/>
        <v>0.68130000000000002</v>
      </c>
      <c r="P231" s="390">
        <f t="shared" si="136"/>
        <v>0.98009999999999997</v>
      </c>
      <c r="Q231" s="390">
        <f t="shared" si="136"/>
        <v>0.96989999999999998</v>
      </c>
      <c r="R231" s="390">
        <f t="shared" si="136"/>
        <v>0.95830000000000004</v>
      </c>
      <c r="S231" s="390">
        <f t="shared" si="136"/>
        <v>0.94779999999999998</v>
      </c>
      <c r="T231" s="390">
        <f t="shared" si="136"/>
        <v>0.93079999999999996</v>
      </c>
      <c r="U231" s="390">
        <f t="shared" si="136"/>
        <v>0.92410000000000003</v>
      </c>
      <c r="V231" s="390">
        <f t="shared" si="136"/>
        <v>0.9194</v>
      </c>
      <c r="W231" s="390">
        <f t="shared" si="136"/>
        <v>0.91569999999999996</v>
      </c>
      <c r="X231" s="390">
        <f t="shared" si="136"/>
        <v>0.92310000000000003</v>
      </c>
      <c r="Y231" s="390">
        <f t="shared" si="136"/>
        <v>0.92059999999999997</v>
      </c>
      <c r="Z231" s="390">
        <f t="shared" si="136"/>
        <v>0</v>
      </c>
      <c r="AA231" s="390">
        <f t="shared" si="136"/>
        <v>0</v>
      </c>
      <c r="AB231" s="390">
        <f t="shared" si="136"/>
        <v>0</v>
      </c>
      <c r="AC231" s="390">
        <f t="shared" si="136"/>
        <v>0</v>
      </c>
      <c r="AD231" s="390">
        <f t="shared" si="136"/>
        <v>0</v>
      </c>
      <c r="AE231" s="390">
        <f t="shared" si="136"/>
        <v>0</v>
      </c>
      <c r="AF231" s="390">
        <f t="shared" si="136"/>
        <v>0</v>
      </c>
      <c r="AG231" s="390">
        <f t="shared" si="136"/>
        <v>0</v>
      </c>
      <c r="AH231" s="390">
        <f t="shared" si="136"/>
        <v>0</v>
      </c>
      <c r="AI231" s="390">
        <f t="shared" si="136"/>
        <v>0</v>
      </c>
      <c r="AJ231" s="390">
        <f t="shared" si="136"/>
        <v>0</v>
      </c>
      <c r="AK231" s="390">
        <f t="shared" si="136"/>
        <v>0</v>
      </c>
      <c r="AL231" s="390">
        <f t="shared" si="136"/>
        <v>0</v>
      </c>
      <c r="AM231" s="390">
        <f t="shared" si="136"/>
        <v>0</v>
      </c>
      <c r="AN231" s="390">
        <f t="shared" si="136"/>
        <v>0</v>
      </c>
      <c r="AO231" s="390">
        <f t="shared" si="136"/>
        <v>0</v>
      </c>
      <c r="AP231" s="390">
        <f t="shared" si="136"/>
        <v>0</v>
      </c>
      <c r="AQ231" s="390">
        <f t="shared" si="136"/>
        <v>0</v>
      </c>
      <c r="AR231" s="390">
        <f t="shared" si="136"/>
        <v>0</v>
      </c>
      <c r="AS231" s="390">
        <f t="shared" si="136"/>
        <v>0</v>
      </c>
      <c r="AT231" s="390">
        <f t="shared" si="136"/>
        <v>0</v>
      </c>
      <c r="AU231" s="390">
        <f t="shared" si="136"/>
        <v>0</v>
      </c>
      <c r="AV231" s="390">
        <f t="shared" si="136"/>
        <v>0</v>
      </c>
      <c r="AW231" s="390">
        <f t="shared" si="136"/>
        <v>0</v>
      </c>
      <c r="AX231" s="390">
        <f t="shared" si="136"/>
        <v>0</v>
      </c>
      <c r="AY231" s="390">
        <f t="shared" si="136"/>
        <v>0</v>
      </c>
      <c r="AZ231" s="390">
        <f t="shared" si="136"/>
        <v>0</v>
      </c>
      <c r="BA231" s="391">
        <f t="shared" si="136"/>
        <v>0</v>
      </c>
    </row>
    <row r="232" spans="1:53" s="246" customFormat="1" outlineLevel="1">
      <c r="A232" s="244"/>
      <c r="B232" s="244"/>
      <c r="C232" s="1"/>
      <c r="D232" s="1"/>
      <c r="E232" s="369" t="s">
        <v>617</v>
      </c>
      <c r="F232" s="390">
        <f>+IF(F21&lt;&gt;0,ROUND(F30/F21,4),0)</f>
        <v>0.17630000000000001</v>
      </c>
      <c r="G232" s="390">
        <f>+IF(G21&lt;&gt;0,ROUND(G30/G21,4),0)</f>
        <v>0.20760000000000001</v>
      </c>
      <c r="H232" s="390">
        <f>+IF(H21&lt;&gt;0,ROUND(H30/H21,4),0)</f>
        <v>0.16139999999999999</v>
      </c>
      <c r="I232" s="390">
        <f>+IF(I21&lt;&gt;0,ROUND(I30/I21,4),0)</f>
        <v>0.2596</v>
      </c>
      <c r="J232" s="390">
        <f>+IF(J21&lt;&gt;0,ROUND(J30/J21,4),0)</f>
        <v>0.26329999999999998</v>
      </c>
      <c r="K232" s="390">
        <f t="shared" ref="K232:BA232" si="137">+IF(K21&lt;&gt;0,ROUND(K30/K21,4),0)</f>
        <v>0.26219999999999999</v>
      </c>
      <c r="L232" s="390">
        <f t="shared" si="137"/>
        <v>0.2767</v>
      </c>
      <c r="M232" s="390">
        <f t="shared" si="137"/>
        <v>0.24510000000000001</v>
      </c>
      <c r="N232" s="390">
        <f t="shared" si="137"/>
        <v>0.35199999999999998</v>
      </c>
      <c r="O232" s="390">
        <f t="shared" si="137"/>
        <v>0.31869999999999998</v>
      </c>
      <c r="P232" s="390">
        <f t="shared" si="137"/>
        <v>1.9900000000000001E-2</v>
      </c>
      <c r="Q232" s="390">
        <f t="shared" si="137"/>
        <v>3.0099999999999998E-2</v>
      </c>
      <c r="R232" s="390">
        <f t="shared" si="137"/>
        <v>4.1700000000000001E-2</v>
      </c>
      <c r="S232" s="390">
        <f t="shared" si="137"/>
        <v>5.2200000000000003E-2</v>
      </c>
      <c r="T232" s="390">
        <f t="shared" si="137"/>
        <v>6.9199999999999998E-2</v>
      </c>
      <c r="U232" s="390">
        <f t="shared" si="137"/>
        <v>7.5899999999999995E-2</v>
      </c>
      <c r="V232" s="390">
        <f t="shared" si="137"/>
        <v>8.0600000000000005E-2</v>
      </c>
      <c r="W232" s="390">
        <f t="shared" si="137"/>
        <v>8.43E-2</v>
      </c>
      <c r="X232" s="390">
        <f t="shared" si="137"/>
        <v>7.6899999999999996E-2</v>
      </c>
      <c r="Y232" s="390">
        <f t="shared" si="137"/>
        <v>7.9399999999999998E-2</v>
      </c>
      <c r="Z232" s="390">
        <f t="shared" si="137"/>
        <v>0</v>
      </c>
      <c r="AA232" s="390">
        <f t="shared" si="137"/>
        <v>0</v>
      </c>
      <c r="AB232" s="390">
        <f t="shared" si="137"/>
        <v>0</v>
      </c>
      <c r="AC232" s="390">
        <f t="shared" si="137"/>
        <v>0</v>
      </c>
      <c r="AD232" s="390">
        <f t="shared" si="137"/>
        <v>0</v>
      </c>
      <c r="AE232" s="390">
        <f t="shared" si="137"/>
        <v>0</v>
      </c>
      <c r="AF232" s="390">
        <f t="shared" si="137"/>
        <v>0</v>
      </c>
      <c r="AG232" s="390">
        <f t="shared" si="137"/>
        <v>0</v>
      </c>
      <c r="AH232" s="390">
        <f t="shared" si="137"/>
        <v>0</v>
      </c>
      <c r="AI232" s="390">
        <f t="shared" si="137"/>
        <v>0</v>
      </c>
      <c r="AJ232" s="390">
        <f t="shared" si="137"/>
        <v>0</v>
      </c>
      <c r="AK232" s="390">
        <f t="shared" si="137"/>
        <v>0</v>
      </c>
      <c r="AL232" s="390">
        <f t="shared" si="137"/>
        <v>0</v>
      </c>
      <c r="AM232" s="390">
        <f t="shared" si="137"/>
        <v>0</v>
      </c>
      <c r="AN232" s="390">
        <f t="shared" si="137"/>
        <v>0</v>
      </c>
      <c r="AO232" s="390">
        <f t="shared" si="137"/>
        <v>0</v>
      </c>
      <c r="AP232" s="390">
        <f t="shared" si="137"/>
        <v>0</v>
      </c>
      <c r="AQ232" s="390">
        <f t="shared" si="137"/>
        <v>0</v>
      </c>
      <c r="AR232" s="390">
        <f t="shared" si="137"/>
        <v>0</v>
      </c>
      <c r="AS232" s="390">
        <f t="shared" si="137"/>
        <v>0</v>
      </c>
      <c r="AT232" s="390">
        <f t="shared" si="137"/>
        <v>0</v>
      </c>
      <c r="AU232" s="390">
        <f t="shared" si="137"/>
        <v>0</v>
      </c>
      <c r="AV232" s="390">
        <f t="shared" si="137"/>
        <v>0</v>
      </c>
      <c r="AW232" s="390">
        <f t="shared" si="137"/>
        <v>0</v>
      </c>
      <c r="AX232" s="390">
        <f t="shared" si="137"/>
        <v>0</v>
      </c>
      <c r="AY232" s="390">
        <f t="shared" si="137"/>
        <v>0</v>
      </c>
      <c r="AZ232" s="390">
        <f t="shared" si="137"/>
        <v>0</v>
      </c>
      <c r="BA232" s="391">
        <f t="shared" si="137"/>
        <v>0</v>
      </c>
    </row>
    <row r="233" spans="1:53" s="246" customFormat="1" outlineLevel="1">
      <c r="A233" s="244"/>
      <c r="B233" s="244"/>
      <c r="C233" s="1"/>
      <c r="D233" s="1"/>
      <c r="E233" s="369" t="s">
        <v>618</v>
      </c>
      <c r="F233" s="390">
        <f>+IF(F22&lt;&gt;0,ROUND(F23/F22,4),0)</f>
        <v>0.65180000000000005</v>
      </c>
      <c r="G233" s="390">
        <f>+IF(G22&lt;&gt;0,ROUND(G23/G22,4),0)</f>
        <v>0.6452</v>
      </c>
      <c r="H233" s="390">
        <f>+IF(H22&lt;&gt;0,ROUND(H23/H22,4),0)</f>
        <v>0.63339999999999996</v>
      </c>
      <c r="I233" s="390">
        <f>+IF(I22&lt;&gt;0,ROUND(I23/I22,4),0)</f>
        <v>0.63480000000000003</v>
      </c>
      <c r="J233" s="390">
        <f>+IF(J22&lt;&gt;0,ROUND(J23/J22,4),0)</f>
        <v>0.63749999999999996</v>
      </c>
      <c r="K233" s="390">
        <f t="shared" ref="K233:BA233" si="138">+IF(K22&lt;&gt;0,ROUND(K23/K22,4),0)</f>
        <v>0.63859999999999995</v>
      </c>
      <c r="L233" s="390">
        <f t="shared" si="138"/>
        <v>0.63160000000000005</v>
      </c>
      <c r="M233" s="390">
        <f t="shared" si="138"/>
        <v>0.64639999999999997</v>
      </c>
      <c r="N233" s="390">
        <f t="shared" si="138"/>
        <v>0.63819999999999999</v>
      </c>
      <c r="O233" s="390">
        <f t="shared" si="138"/>
        <v>0.64770000000000005</v>
      </c>
      <c r="P233" s="390">
        <f t="shared" si="138"/>
        <v>0.64870000000000005</v>
      </c>
      <c r="Q233" s="390">
        <f t="shared" si="138"/>
        <v>0.64959999999999996</v>
      </c>
      <c r="R233" s="390">
        <f t="shared" si="138"/>
        <v>0.65059999999999996</v>
      </c>
      <c r="S233" s="390">
        <f t="shared" si="138"/>
        <v>0.65139999999999998</v>
      </c>
      <c r="T233" s="390">
        <f t="shared" si="138"/>
        <v>0.6522</v>
      </c>
      <c r="U233" s="390">
        <f t="shared" si="138"/>
        <v>0.65280000000000005</v>
      </c>
      <c r="V233" s="390">
        <f t="shared" si="138"/>
        <v>0.6532</v>
      </c>
      <c r="W233" s="390">
        <f t="shared" si="138"/>
        <v>0.65369999999999995</v>
      </c>
      <c r="X233" s="390">
        <f t="shared" si="138"/>
        <v>0.6542</v>
      </c>
      <c r="Y233" s="390">
        <f t="shared" si="138"/>
        <v>0.65490000000000004</v>
      </c>
      <c r="Z233" s="390">
        <f t="shared" si="138"/>
        <v>0</v>
      </c>
      <c r="AA233" s="390">
        <f t="shared" si="138"/>
        <v>0</v>
      </c>
      <c r="AB233" s="390">
        <f t="shared" si="138"/>
        <v>0</v>
      </c>
      <c r="AC233" s="390">
        <f t="shared" si="138"/>
        <v>0</v>
      </c>
      <c r="AD233" s="390">
        <f t="shared" si="138"/>
        <v>0</v>
      </c>
      <c r="AE233" s="390">
        <f t="shared" si="138"/>
        <v>0</v>
      </c>
      <c r="AF233" s="390">
        <f t="shared" si="138"/>
        <v>0</v>
      </c>
      <c r="AG233" s="390">
        <f t="shared" si="138"/>
        <v>0</v>
      </c>
      <c r="AH233" s="390">
        <f t="shared" si="138"/>
        <v>0</v>
      </c>
      <c r="AI233" s="390">
        <f t="shared" si="138"/>
        <v>0</v>
      </c>
      <c r="AJ233" s="390">
        <f t="shared" si="138"/>
        <v>0</v>
      </c>
      <c r="AK233" s="390">
        <f t="shared" si="138"/>
        <v>0</v>
      </c>
      <c r="AL233" s="390">
        <f t="shared" si="138"/>
        <v>0</v>
      </c>
      <c r="AM233" s="390">
        <f t="shared" si="138"/>
        <v>0</v>
      </c>
      <c r="AN233" s="390">
        <f t="shared" si="138"/>
        <v>0</v>
      </c>
      <c r="AO233" s="390">
        <f t="shared" si="138"/>
        <v>0</v>
      </c>
      <c r="AP233" s="390">
        <f t="shared" si="138"/>
        <v>0</v>
      </c>
      <c r="AQ233" s="390">
        <f t="shared" si="138"/>
        <v>0</v>
      </c>
      <c r="AR233" s="390">
        <f t="shared" si="138"/>
        <v>0</v>
      </c>
      <c r="AS233" s="390">
        <f t="shared" si="138"/>
        <v>0</v>
      </c>
      <c r="AT233" s="390">
        <f t="shared" si="138"/>
        <v>0</v>
      </c>
      <c r="AU233" s="390">
        <f t="shared" si="138"/>
        <v>0</v>
      </c>
      <c r="AV233" s="390">
        <f t="shared" si="138"/>
        <v>0</v>
      </c>
      <c r="AW233" s="390">
        <f t="shared" si="138"/>
        <v>0</v>
      </c>
      <c r="AX233" s="390">
        <f t="shared" si="138"/>
        <v>0</v>
      </c>
      <c r="AY233" s="390">
        <f t="shared" si="138"/>
        <v>0</v>
      </c>
      <c r="AZ233" s="390">
        <f t="shared" si="138"/>
        <v>0</v>
      </c>
      <c r="BA233" s="391">
        <f t="shared" si="138"/>
        <v>0</v>
      </c>
    </row>
    <row r="234" spans="1:53" s="246" customFormat="1" outlineLevel="1">
      <c r="A234" s="244"/>
      <c r="B234" s="244"/>
      <c r="C234" s="1"/>
      <c r="D234" s="1"/>
      <c r="E234" s="393" t="s">
        <v>619</v>
      </c>
      <c r="F234" s="394">
        <f>+IF(F22&lt;&gt;0,ROUND(F26/F22,4),0)</f>
        <v>1.67E-2</v>
      </c>
      <c r="G234" s="394">
        <f>+IF(G22&lt;&gt;0,ROUND(G26/G22,4),0)</f>
        <v>1.5800000000000002E-2</v>
      </c>
      <c r="H234" s="394">
        <f>+IF(H22&lt;&gt;0,ROUND(H26/H22,4),0)</f>
        <v>1.38E-2</v>
      </c>
      <c r="I234" s="394">
        <f>+IF(I22&lt;&gt;0,ROUND(I26/I22,4),0)</f>
        <v>1.32E-2</v>
      </c>
      <c r="J234" s="394">
        <f>+IF(J22&lt;&gt;0,ROUND(J26/J22,4),0)</f>
        <v>1.09E-2</v>
      </c>
      <c r="K234" s="394">
        <f t="shared" ref="K234:BA234" si="139">+IF(K22&lt;&gt;0,ROUND(K26/K22,4),0)</f>
        <v>9.4999999999999998E-3</v>
      </c>
      <c r="L234" s="394">
        <f t="shared" si="139"/>
        <v>6.7000000000000002E-3</v>
      </c>
      <c r="M234" s="394">
        <f t="shared" si="139"/>
        <v>5.8999999999999999E-3</v>
      </c>
      <c r="N234" s="394">
        <f t="shared" si="139"/>
        <v>7.1999999999999998E-3</v>
      </c>
      <c r="O234" s="394">
        <f t="shared" si="139"/>
        <v>1.14E-2</v>
      </c>
      <c r="P234" s="394">
        <f t="shared" si="139"/>
        <v>9.9000000000000008E-3</v>
      </c>
      <c r="Q234" s="394">
        <f t="shared" si="139"/>
        <v>8.5000000000000006E-3</v>
      </c>
      <c r="R234" s="394">
        <f t="shared" si="139"/>
        <v>7.1000000000000004E-3</v>
      </c>
      <c r="S234" s="394">
        <f t="shared" si="139"/>
        <v>5.7999999999999996E-3</v>
      </c>
      <c r="T234" s="394">
        <f t="shared" si="139"/>
        <v>4.5999999999999999E-3</v>
      </c>
      <c r="U234" s="394">
        <f t="shared" si="139"/>
        <v>3.8E-3</v>
      </c>
      <c r="V234" s="394">
        <f t="shared" si="139"/>
        <v>3.0000000000000001E-3</v>
      </c>
      <c r="W234" s="394">
        <f t="shared" si="139"/>
        <v>2.3E-3</v>
      </c>
      <c r="X234" s="394">
        <f t="shared" si="139"/>
        <v>1.5E-3</v>
      </c>
      <c r="Y234" s="394">
        <f t="shared" si="139"/>
        <v>5.0000000000000001E-4</v>
      </c>
      <c r="Z234" s="394">
        <f t="shared" si="139"/>
        <v>0</v>
      </c>
      <c r="AA234" s="394">
        <f t="shared" si="139"/>
        <v>0</v>
      </c>
      <c r="AB234" s="394">
        <f t="shared" si="139"/>
        <v>0</v>
      </c>
      <c r="AC234" s="394">
        <f t="shared" si="139"/>
        <v>0</v>
      </c>
      <c r="AD234" s="394">
        <f t="shared" si="139"/>
        <v>0</v>
      </c>
      <c r="AE234" s="394">
        <f t="shared" si="139"/>
        <v>0</v>
      </c>
      <c r="AF234" s="394">
        <f t="shared" si="139"/>
        <v>0</v>
      </c>
      <c r="AG234" s="394">
        <f t="shared" si="139"/>
        <v>0</v>
      </c>
      <c r="AH234" s="394">
        <f t="shared" si="139"/>
        <v>0</v>
      </c>
      <c r="AI234" s="394">
        <f t="shared" si="139"/>
        <v>0</v>
      </c>
      <c r="AJ234" s="394">
        <f t="shared" si="139"/>
        <v>0</v>
      </c>
      <c r="AK234" s="394">
        <f t="shared" si="139"/>
        <v>0</v>
      </c>
      <c r="AL234" s="394">
        <f t="shared" si="139"/>
        <v>0</v>
      </c>
      <c r="AM234" s="394">
        <f t="shared" si="139"/>
        <v>0</v>
      </c>
      <c r="AN234" s="394">
        <f t="shared" si="139"/>
        <v>0</v>
      </c>
      <c r="AO234" s="394">
        <f t="shared" si="139"/>
        <v>0</v>
      </c>
      <c r="AP234" s="394">
        <f t="shared" si="139"/>
        <v>0</v>
      </c>
      <c r="AQ234" s="394">
        <f t="shared" si="139"/>
        <v>0</v>
      </c>
      <c r="AR234" s="394">
        <f t="shared" si="139"/>
        <v>0</v>
      </c>
      <c r="AS234" s="394">
        <f t="shared" si="139"/>
        <v>0</v>
      </c>
      <c r="AT234" s="394">
        <f t="shared" si="139"/>
        <v>0</v>
      </c>
      <c r="AU234" s="394">
        <f t="shared" si="139"/>
        <v>0</v>
      </c>
      <c r="AV234" s="394">
        <f t="shared" si="139"/>
        <v>0</v>
      </c>
      <c r="AW234" s="394">
        <f t="shared" si="139"/>
        <v>0</v>
      </c>
      <c r="AX234" s="394">
        <f t="shared" si="139"/>
        <v>0</v>
      </c>
      <c r="AY234" s="394">
        <f t="shared" si="139"/>
        <v>0</v>
      </c>
      <c r="AZ234" s="394">
        <f t="shared" si="139"/>
        <v>0</v>
      </c>
      <c r="BA234" s="395">
        <f t="shared" si="139"/>
        <v>0</v>
      </c>
    </row>
    <row r="235" spans="1:53" s="246" customFormat="1" outlineLevel="1">
      <c r="A235" s="244"/>
      <c r="B235" s="244"/>
      <c r="C235" s="1"/>
      <c r="D235" s="1"/>
      <c r="E235" s="365" t="s">
        <v>620</v>
      </c>
      <c r="F235" s="396"/>
      <c r="G235" s="396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</row>
    <row r="236" spans="1:53" s="246" customFormat="1" outlineLevel="1">
      <c r="A236" s="244"/>
      <c r="B236" s="244"/>
      <c r="C236" s="1"/>
      <c r="D236" s="1"/>
      <c r="E236" s="374" t="s">
        <v>527</v>
      </c>
      <c r="F236" s="397" t="s">
        <v>27</v>
      </c>
      <c r="G236" s="398">
        <f t="shared" ref="G236:K237" si="140">+G57-F57</f>
        <v>0</v>
      </c>
      <c r="H236" s="398">
        <f t="shared" si="140"/>
        <v>0</v>
      </c>
      <c r="I236" s="398">
        <f t="shared" si="140"/>
        <v>0</v>
      </c>
      <c r="J236" s="398">
        <f t="shared" si="140"/>
        <v>11915000</v>
      </c>
      <c r="K236" s="398">
        <f t="shared" si="140"/>
        <v>0</v>
      </c>
      <c r="L236" s="397" t="s">
        <v>27</v>
      </c>
      <c r="M236" s="398">
        <f>+M57-K57</f>
        <v>0</v>
      </c>
      <c r="N236" s="398">
        <f t="shared" ref="N236:BA237" si="141">+N57-M57</f>
        <v>6500000</v>
      </c>
      <c r="O236" s="398">
        <f t="shared" si="141"/>
        <v>-1000000</v>
      </c>
      <c r="P236" s="398">
        <f t="shared" si="141"/>
        <v>-1915000</v>
      </c>
      <c r="Q236" s="398">
        <f t="shared" si="141"/>
        <v>-2000000</v>
      </c>
      <c r="R236" s="398">
        <f t="shared" si="141"/>
        <v>-2000000</v>
      </c>
      <c r="S236" s="398">
        <f t="shared" si="141"/>
        <v>-2000000</v>
      </c>
      <c r="T236" s="398">
        <f t="shared" si="141"/>
        <v>-1500000</v>
      </c>
      <c r="U236" s="398">
        <f t="shared" si="141"/>
        <v>-1500000</v>
      </c>
      <c r="V236" s="398">
        <f t="shared" si="141"/>
        <v>-1500000</v>
      </c>
      <c r="W236" s="398">
        <f t="shared" si="141"/>
        <v>-1500000</v>
      </c>
      <c r="X236" s="398">
        <f t="shared" si="141"/>
        <v>-1750000</v>
      </c>
      <c r="Y236" s="398">
        <f t="shared" si="141"/>
        <v>-1750000</v>
      </c>
      <c r="Z236" s="398">
        <f t="shared" si="141"/>
        <v>0</v>
      </c>
      <c r="AA236" s="398">
        <f t="shared" si="141"/>
        <v>0</v>
      </c>
      <c r="AB236" s="398">
        <f t="shared" si="141"/>
        <v>0</v>
      </c>
      <c r="AC236" s="398">
        <f t="shared" si="141"/>
        <v>0</v>
      </c>
      <c r="AD236" s="398">
        <f t="shared" si="141"/>
        <v>0</v>
      </c>
      <c r="AE236" s="398">
        <f t="shared" si="141"/>
        <v>0</v>
      </c>
      <c r="AF236" s="398">
        <f t="shared" si="141"/>
        <v>0</v>
      </c>
      <c r="AG236" s="398">
        <f t="shared" si="141"/>
        <v>0</v>
      </c>
      <c r="AH236" s="398">
        <f t="shared" si="141"/>
        <v>0</v>
      </c>
      <c r="AI236" s="398">
        <f t="shared" si="141"/>
        <v>0</v>
      </c>
      <c r="AJ236" s="398">
        <f t="shared" si="141"/>
        <v>0</v>
      </c>
      <c r="AK236" s="398">
        <f t="shared" si="141"/>
        <v>0</v>
      </c>
      <c r="AL236" s="398">
        <f t="shared" si="141"/>
        <v>0</v>
      </c>
      <c r="AM236" s="398">
        <f t="shared" si="141"/>
        <v>0</v>
      </c>
      <c r="AN236" s="398">
        <f t="shared" si="141"/>
        <v>0</v>
      </c>
      <c r="AO236" s="398">
        <f t="shared" si="141"/>
        <v>0</v>
      </c>
      <c r="AP236" s="398">
        <f t="shared" si="141"/>
        <v>0</v>
      </c>
      <c r="AQ236" s="398">
        <f t="shared" si="141"/>
        <v>0</v>
      </c>
      <c r="AR236" s="398">
        <f t="shared" si="141"/>
        <v>0</v>
      </c>
      <c r="AS236" s="398">
        <f t="shared" si="141"/>
        <v>0</v>
      </c>
      <c r="AT236" s="398">
        <f t="shared" si="141"/>
        <v>0</v>
      </c>
      <c r="AU236" s="398">
        <f t="shared" si="141"/>
        <v>0</v>
      </c>
      <c r="AV236" s="398">
        <f t="shared" si="141"/>
        <v>0</v>
      </c>
      <c r="AW236" s="398">
        <f t="shared" si="141"/>
        <v>0</v>
      </c>
      <c r="AX236" s="398">
        <f t="shared" si="141"/>
        <v>0</v>
      </c>
      <c r="AY236" s="398">
        <f t="shared" si="141"/>
        <v>0</v>
      </c>
      <c r="AZ236" s="398">
        <f t="shared" si="141"/>
        <v>0</v>
      </c>
      <c r="BA236" s="399">
        <f t="shared" si="141"/>
        <v>0</v>
      </c>
    </row>
    <row r="237" spans="1:53" s="246" customFormat="1" outlineLevel="1">
      <c r="A237" s="244"/>
      <c r="B237" s="244"/>
      <c r="C237" s="1"/>
      <c r="D237" s="1"/>
      <c r="E237" s="392" t="s">
        <v>528</v>
      </c>
      <c r="F237" s="400" t="s">
        <v>27</v>
      </c>
      <c r="G237" s="401">
        <f t="shared" si="140"/>
        <v>0</v>
      </c>
      <c r="H237" s="401">
        <f t="shared" si="140"/>
        <v>0</v>
      </c>
      <c r="I237" s="401">
        <f t="shared" si="140"/>
        <v>0</v>
      </c>
      <c r="J237" s="401">
        <f t="shared" si="140"/>
        <v>0</v>
      </c>
      <c r="K237" s="401">
        <f t="shared" si="140"/>
        <v>0</v>
      </c>
      <c r="L237" s="400" t="s">
        <v>27</v>
      </c>
      <c r="M237" s="401">
        <f>+M58-K58</f>
        <v>0</v>
      </c>
      <c r="N237" s="401">
        <f t="shared" si="141"/>
        <v>0</v>
      </c>
      <c r="O237" s="401">
        <f t="shared" si="141"/>
        <v>0</v>
      </c>
      <c r="P237" s="401">
        <f t="shared" si="141"/>
        <v>0</v>
      </c>
      <c r="Q237" s="401">
        <f t="shared" si="141"/>
        <v>0</v>
      </c>
      <c r="R237" s="401">
        <f t="shared" si="141"/>
        <v>0</v>
      </c>
      <c r="S237" s="401">
        <f t="shared" si="141"/>
        <v>0</v>
      </c>
      <c r="T237" s="401">
        <f t="shared" si="141"/>
        <v>0</v>
      </c>
      <c r="U237" s="401">
        <f t="shared" si="141"/>
        <v>0</v>
      </c>
      <c r="V237" s="401">
        <f t="shared" si="141"/>
        <v>0</v>
      </c>
      <c r="W237" s="401">
        <f t="shared" si="141"/>
        <v>0</v>
      </c>
      <c r="X237" s="401">
        <f t="shared" si="141"/>
        <v>0</v>
      </c>
      <c r="Y237" s="401">
        <f t="shared" si="141"/>
        <v>0</v>
      </c>
      <c r="Z237" s="401">
        <f t="shared" si="141"/>
        <v>0</v>
      </c>
      <c r="AA237" s="401">
        <f t="shared" si="141"/>
        <v>0</v>
      </c>
      <c r="AB237" s="401">
        <f t="shared" si="141"/>
        <v>0</v>
      </c>
      <c r="AC237" s="401">
        <f t="shared" si="141"/>
        <v>0</v>
      </c>
      <c r="AD237" s="401">
        <f t="shared" si="141"/>
        <v>0</v>
      </c>
      <c r="AE237" s="401">
        <f t="shared" si="141"/>
        <v>0</v>
      </c>
      <c r="AF237" s="401">
        <f t="shared" si="141"/>
        <v>0</v>
      </c>
      <c r="AG237" s="401">
        <f t="shared" si="141"/>
        <v>0</v>
      </c>
      <c r="AH237" s="401">
        <f t="shared" si="141"/>
        <v>0</v>
      </c>
      <c r="AI237" s="401">
        <f t="shared" si="141"/>
        <v>0</v>
      </c>
      <c r="AJ237" s="401">
        <f t="shared" si="141"/>
        <v>0</v>
      </c>
      <c r="AK237" s="401">
        <f t="shared" si="141"/>
        <v>0</v>
      </c>
      <c r="AL237" s="401">
        <f t="shared" si="141"/>
        <v>0</v>
      </c>
      <c r="AM237" s="401">
        <f t="shared" si="141"/>
        <v>0</v>
      </c>
      <c r="AN237" s="401">
        <f t="shared" si="141"/>
        <v>0</v>
      </c>
      <c r="AO237" s="401">
        <f t="shared" si="141"/>
        <v>0</v>
      </c>
      <c r="AP237" s="401">
        <f t="shared" si="141"/>
        <v>0</v>
      </c>
      <c r="AQ237" s="401">
        <f t="shared" si="141"/>
        <v>0</v>
      </c>
      <c r="AR237" s="401">
        <f t="shared" si="141"/>
        <v>0</v>
      </c>
      <c r="AS237" s="401">
        <f t="shared" si="141"/>
        <v>0</v>
      </c>
      <c r="AT237" s="401">
        <f t="shared" si="141"/>
        <v>0</v>
      </c>
      <c r="AU237" s="401">
        <f t="shared" si="141"/>
        <v>0</v>
      </c>
      <c r="AV237" s="401">
        <f t="shared" si="141"/>
        <v>0</v>
      </c>
      <c r="AW237" s="401">
        <f t="shared" si="141"/>
        <v>0</v>
      </c>
      <c r="AX237" s="401">
        <f t="shared" si="141"/>
        <v>0</v>
      </c>
      <c r="AY237" s="401">
        <f t="shared" si="141"/>
        <v>0</v>
      </c>
      <c r="AZ237" s="401">
        <f t="shared" si="141"/>
        <v>0</v>
      </c>
      <c r="BA237" s="402">
        <f t="shared" si="141"/>
        <v>0</v>
      </c>
    </row>
    <row r="238" spans="1:53" s="246" customFormat="1" outlineLevel="1">
      <c r="A238" s="244"/>
      <c r="B238" s="244"/>
      <c r="C238" s="1"/>
      <c r="D238" s="1"/>
      <c r="E238" s="392" t="s">
        <v>467</v>
      </c>
      <c r="F238" s="401">
        <f>+F30-F93</f>
        <v>6770370.9699999997</v>
      </c>
      <c r="G238" s="401">
        <f>+G30-G93</f>
        <v>8428567.9800000004</v>
      </c>
      <c r="H238" s="401">
        <f>+H30-H93</f>
        <v>6638090.5300000003</v>
      </c>
      <c r="I238" s="401">
        <f>+I30-I93</f>
        <v>12699810.439999999</v>
      </c>
      <c r="J238" s="401">
        <f>+J30-J93</f>
        <v>14101467.33</v>
      </c>
      <c r="K238" s="401">
        <f t="shared" ref="K238:BA238" si="142">+K30-K93</f>
        <v>15388364.119999999</v>
      </c>
      <c r="L238" s="401">
        <f t="shared" si="142"/>
        <v>13109682</v>
      </c>
      <c r="M238" s="401">
        <f t="shared" si="142"/>
        <v>10356329.970000001</v>
      </c>
      <c r="N238" s="401">
        <f t="shared" si="142"/>
        <v>19304888</v>
      </c>
      <c r="O238" s="401">
        <f t="shared" si="142"/>
        <v>267854</v>
      </c>
      <c r="P238" s="401">
        <f t="shared" si="142"/>
        <v>30284</v>
      </c>
      <c r="Q238" s="401">
        <f t="shared" si="142"/>
        <v>613533</v>
      </c>
      <c r="R238" s="401">
        <f t="shared" si="142"/>
        <v>2316905</v>
      </c>
      <c r="S238" s="401">
        <f t="shared" si="142"/>
        <v>2998543</v>
      </c>
      <c r="T238" s="401">
        <f t="shared" si="142"/>
        <v>4146159</v>
      </c>
      <c r="U238" s="401">
        <f t="shared" si="142"/>
        <v>4690393</v>
      </c>
      <c r="V238" s="401">
        <f t="shared" si="142"/>
        <v>5126926</v>
      </c>
      <c r="W238" s="401">
        <f t="shared" si="142"/>
        <v>5514120</v>
      </c>
      <c r="X238" s="401">
        <f t="shared" si="142"/>
        <v>5111826</v>
      </c>
      <c r="Y238" s="401">
        <f t="shared" si="142"/>
        <v>5415107</v>
      </c>
      <c r="Z238" s="401">
        <f t="shared" si="142"/>
        <v>0</v>
      </c>
      <c r="AA238" s="401">
        <f t="shared" si="142"/>
        <v>0</v>
      </c>
      <c r="AB238" s="401">
        <f t="shared" si="142"/>
        <v>0</v>
      </c>
      <c r="AC238" s="401">
        <f t="shared" si="142"/>
        <v>0</v>
      </c>
      <c r="AD238" s="401">
        <f t="shared" si="142"/>
        <v>0</v>
      </c>
      <c r="AE238" s="401">
        <f t="shared" si="142"/>
        <v>0</v>
      </c>
      <c r="AF238" s="401">
        <f t="shared" si="142"/>
        <v>0</v>
      </c>
      <c r="AG238" s="401">
        <f t="shared" si="142"/>
        <v>0</v>
      </c>
      <c r="AH238" s="401">
        <f t="shared" si="142"/>
        <v>0</v>
      </c>
      <c r="AI238" s="401">
        <f t="shared" si="142"/>
        <v>0</v>
      </c>
      <c r="AJ238" s="401">
        <f t="shared" si="142"/>
        <v>0</v>
      </c>
      <c r="AK238" s="401">
        <f t="shared" si="142"/>
        <v>0</v>
      </c>
      <c r="AL238" s="401">
        <f t="shared" si="142"/>
        <v>0</v>
      </c>
      <c r="AM238" s="401">
        <f t="shared" si="142"/>
        <v>0</v>
      </c>
      <c r="AN238" s="401">
        <f t="shared" si="142"/>
        <v>0</v>
      </c>
      <c r="AO238" s="401">
        <f t="shared" si="142"/>
        <v>0</v>
      </c>
      <c r="AP238" s="401">
        <f t="shared" si="142"/>
        <v>0</v>
      </c>
      <c r="AQ238" s="401">
        <f t="shared" si="142"/>
        <v>0</v>
      </c>
      <c r="AR238" s="401">
        <f t="shared" si="142"/>
        <v>0</v>
      </c>
      <c r="AS238" s="401">
        <f t="shared" si="142"/>
        <v>0</v>
      </c>
      <c r="AT238" s="401">
        <f t="shared" si="142"/>
        <v>0</v>
      </c>
      <c r="AU238" s="401">
        <f t="shared" si="142"/>
        <v>0</v>
      </c>
      <c r="AV238" s="401">
        <f t="shared" si="142"/>
        <v>0</v>
      </c>
      <c r="AW238" s="401">
        <f t="shared" si="142"/>
        <v>0</v>
      </c>
      <c r="AX238" s="401">
        <f t="shared" si="142"/>
        <v>0</v>
      </c>
      <c r="AY238" s="401">
        <f t="shared" si="142"/>
        <v>0</v>
      </c>
      <c r="AZ238" s="401">
        <f t="shared" si="142"/>
        <v>0</v>
      </c>
      <c r="BA238" s="402">
        <f t="shared" si="142"/>
        <v>0</v>
      </c>
    </row>
    <row r="239" spans="1:53" s="246" customFormat="1" outlineLevel="1">
      <c r="A239" s="244"/>
      <c r="B239" s="244"/>
      <c r="C239" s="1"/>
      <c r="D239" s="1"/>
      <c r="E239" s="392" t="s">
        <v>695</v>
      </c>
      <c r="F239" s="497">
        <f>+F30-F87</f>
        <v>6770370.9699999997</v>
      </c>
      <c r="G239" s="497">
        <f>+G30-G87</f>
        <v>8428567.9800000004</v>
      </c>
      <c r="H239" s="497">
        <f>+H30-H87</f>
        <v>6170651.3799999999</v>
      </c>
      <c r="I239" s="497">
        <f>+I30-I87</f>
        <v>6345280.8799999999</v>
      </c>
      <c r="J239" s="497">
        <f>+J30-J87</f>
        <v>6893812.2999999998</v>
      </c>
      <c r="K239" s="497">
        <f t="shared" ref="K239:BA239" si="143">+K30-K87</f>
        <v>13118106.149999999</v>
      </c>
      <c r="L239" s="497">
        <f t="shared" si="143"/>
        <v>18219988</v>
      </c>
      <c r="M239" s="497">
        <f t="shared" si="143"/>
        <v>15466635.970000001</v>
      </c>
      <c r="N239" s="497">
        <f t="shared" si="143"/>
        <v>26534888</v>
      </c>
      <c r="O239" s="497">
        <f t="shared" si="143"/>
        <v>22154854</v>
      </c>
      <c r="P239" s="497">
        <f t="shared" si="143"/>
        <v>1030284</v>
      </c>
      <c r="Q239" s="497">
        <f t="shared" si="143"/>
        <v>1613533</v>
      </c>
      <c r="R239" s="497">
        <f t="shared" si="143"/>
        <v>2316905</v>
      </c>
      <c r="S239" s="497">
        <f t="shared" si="143"/>
        <v>2998543</v>
      </c>
      <c r="T239" s="497">
        <f t="shared" si="143"/>
        <v>4146159</v>
      </c>
      <c r="U239" s="497">
        <f t="shared" si="143"/>
        <v>4690393</v>
      </c>
      <c r="V239" s="497">
        <f t="shared" si="143"/>
        <v>5126926</v>
      </c>
      <c r="W239" s="497">
        <f t="shared" si="143"/>
        <v>5514120</v>
      </c>
      <c r="X239" s="497">
        <f t="shared" si="143"/>
        <v>5111826</v>
      </c>
      <c r="Y239" s="497">
        <f t="shared" si="143"/>
        <v>5415107</v>
      </c>
      <c r="Z239" s="497">
        <f t="shared" si="143"/>
        <v>0</v>
      </c>
      <c r="AA239" s="497">
        <f t="shared" si="143"/>
        <v>0</v>
      </c>
      <c r="AB239" s="497">
        <f t="shared" si="143"/>
        <v>0</v>
      </c>
      <c r="AC239" s="497">
        <f t="shared" si="143"/>
        <v>0</v>
      </c>
      <c r="AD239" s="497">
        <f t="shared" si="143"/>
        <v>0</v>
      </c>
      <c r="AE239" s="497">
        <f t="shared" si="143"/>
        <v>0</v>
      </c>
      <c r="AF239" s="497">
        <f t="shared" si="143"/>
        <v>0</v>
      </c>
      <c r="AG239" s="497">
        <f t="shared" si="143"/>
        <v>0</v>
      </c>
      <c r="AH239" s="497">
        <f t="shared" si="143"/>
        <v>0</v>
      </c>
      <c r="AI239" s="497">
        <f t="shared" si="143"/>
        <v>0</v>
      </c>
      <c r="AJ239" s="497">
        <f t="shared" si="143"/>
        <v>0</v>
      </c>
      <c r="AK239" s="497">
        <f t="shared" si="143"/>
        <v>0</v>
      </c>
      <c r="AL239" s="497">
        <f t="shared" si="143"/>
        <v>0</v>
      </c>
      <c r="AM239" s="497">
        <f t="shared" si="143"/>
        <v>0</v>
      </c>
      <c r="AN239" s="497">
        <f t="shared" si="143"/>
        <v>0</v>
      </c>
      <c r="AO239" s="497">
        <f t="shared" si="143"/>
        <v>0</v>
      </c>
      <c r="AP239" s="497">
        <f t="shared" si="143"/>
        <v>0</v>
      </c>
      <c r="AQ239" s="497">
        <f t="shared" si="143"/>
        <v>0</v>
      </c>
      <c r="AR239" s="497">
        <f t="shared" si="143"/>
        <v>0</v>
      </c>
      <c r="AS239" s="497">
        <f t="shared" si="143"/>
        <v>0</v>
      </c>
      <c r="AT239" s="497">
        <f t="shared" si="143"/>
        <v>0</v>
      </c>
      <c r="AU239" s="497">
        <f t="shared" si="143"/>
        <v>0</v>
      </c>
      <c r="AV239" s="497">
        <f t="shared" si="143"/>
        <v>0</v>
      </c>
      <c r="AW239" s="497">
        <f t="shared" si="143"/>
        <v>0</v>
      </c>
      <c r="AX239" s="497">
        <f t="shared" si="143"/>
        <v>0</v>
      </c>
      <c r="AY239" s="497">
        <f t="shared" si="143"/>
        <v>0</v>
      </c>
      <c r="AZ239" s="497">
        <f t="shared" si="143"/>
        <v>0</v>
      </c>
      <c r="BA239" s="498">
        <f t="shared" si="143"/>
        <v>0</v>
      </c>
    </row>
    <row r="240" spans="1:53" s="246" customFormat="1" outlineLevel="1">
      <c r="A240" s="244"/>
      <c r="B240" s="244"/>
      <c r="C240" s="1"/>
      <c r="D240" s="1"/>
      <c r="E240" s="375" t="s">
        <v>468</v>
      </c>
      <c r="F240" s="403">
        <f>+F47-F98</f>
        <v>0</v>
      </c>
      <c r="G240" s="403">
        <f>+G47-G98</f>
        <v>0</v>
      </c>
      <c r="H240" s="403">
        <f>+H47-H98</f>
        <v>0</v>
      </c>
      <c r="I240" s="403">
        <f>+I47-I98</f>
        <v>0</v>
      </c>
      <c r="J240" s="403">
        <f>+J47-J98</f>
        <v>0</v>
      </c>
      <c r="K240" s="403">
        <f t="shared" ref="K240:BA240" si="144">+K47-K98</f>
        <v>0</v>
      </c>
      <c r="L240" s="403">
        <f t="shared" si="144"/>
        <v>0</v>
      </c>
      <c r="M240" s="403">
        <f t="shared" si="144"/>
        <v>0</v>
      </c>
      <c r="N240" s="403">
        <f t="shared" si="144"/>
        <v>0</v>
      </c>
      <c r="O240" s="403">
        <f t="shared" si="144"/>
        <v>0</v>
      </c>
      <c r="P240" s="403">
        <f t="shared" si="144"/>
        <v>0</v>
      </c>
      <c r="Q240" s="403">
        <f t="shared" si="144"/>
        <v>0</v>
      </c>
      <c r="R240" s="403">
        <f t="shared" si="144"/>
        <v>0</v>
      </c>
      <c r="S240" s="403">
        <f t="shared" si="144"/>
        <v>0</v>
      </c>
      <c r="T240" s="403">
        <f t="shared" si="144"/>
        <v>0</v>
      </c>
      <c r="U240" s="403">
        <f t="shared" si="144"/>
        <v>1000000</v>
      </c>
      <c r="V240" s="403">
        <f t="shared" si="144"/>
        <v>1500000</v>
      </c>
      <c r="W240" s="403">
        <f t="shared" si="144"/>
        <v>1500000</v>
      </c>
      <c r="X240" s="403">
        <f t="shared" si="144"/>
        <v>1750000</v>
      </c>
      <c r="Y240" s="403">
        <f t="shared" si="144"/>
        <v>1750000</v>
      </c>
      <c r="Z240" s="403">
        <f t="shared" si="144"/>
        <v>0</v>
      </c>
      <c r="AA240" s="403">
        <f t="shared" si="144"/>
        <v>0</v>
      </c>
      <c r="AB240" s="403">
        <f t="shared" si="144"/>
        <v>0</v>
      </c>
      <c r="AC240" s="403">
        <f t="shared" si="144"/>
        <v>0</v>
      </c>
      <c r="AD240" s="403">
        <f t="shared" si="144"/>
        <v>0</v>
      </c>
      <c r="AE240" s="403">
        <f t="shared" si="144"/>
        <v>0</v>
      </c>
      <c r="AF240" s="403">
        <f t="shared" si="144"/>
        <v>0</v>
      </c>
      <c r="AG240" s="403">
        <f t="shared" si="144"/>
        <v>0</v>
      </c>
      <c r="AH240" s="403">
        <f t="shared" si="144"/>
        <v>0</v>
      </c>
      <c r="AI240" s="403">
        <f t="shared" si="144"/>
        <v>0</v>
      </c>
      <c r="AJ240" s="403">
        <f t="shared" si="144"/>
        <v>0</v>
      </c>
      <c r="AK240" s="403">
        <f t="shared" si="144"/>
        <v>0</v>
      </c>
      <c r="AL240" s="403">
        <f t="shared" si="144"/>
        <v>0</v>
      </c>
      <c r="AM240" s="403">
        <f t="shared" si="144"/>
        <v>0</v>
      </c>
      <c r="AN240" s="403">
        <f t="shared" si="144"/>
        <v>0</v>
      </c>
      <c r="AO240" s="403">
        <f t="shared" si="144"/>
        <v>0</v>
      </c>
      <c r="AP240" s="403">
        <f t="shared" si="144"/>
        <v>0</v>
      </c>
      <c r="AQ240" s="403">
        <f t="shared" si="144"/>
        <v>0</v>
      </c>
      <c r="AR240" s="403">
        <f t="shared" si="144"/>
        <v>0</v>
      </c>
      <c r="AS240" s="403">
        <f t="shared" si="144"/>
        <v>0</v>
      </c>
      <c r="AT240" s="403">
        <f t="shared" si="144"/>
        <v>0</v>
      </c>
      <c r="AU240" s="403">
        <f t="shared" si="144"/>
        <v>0</v>
      </c>
      <c r="AV240" s="403">
        <f t="shared" si="144"/>
        <v>0</v>
      </c>
      <c r="AW240" s="403">
        <f t="shared" si="144"/>
        <v>0</v>
      </c>
      <c r="AX240" s="403">
        <f t="shared" si="144"/>
        <v>0</v>
      </c>
      <c r="AY240" s="403">
        <f t="shared" si="144"/>
        <v>0</v>
      </c>
      <c r="AZ240" s="403">
        <f t="shared" si="144"/>
        <v>0</v>
      </c>
      <c r="BA240" s="404">
        <f t="shared" si="144"/>
        <v>0</v>
      </c>
    </row>
    <row r="241" spans="1:53" s="246" customFormat="1" outlineLevel="1">
      <c r="A241" s="244"/>
      <c r="B241" s="244"/>
      <c r="C241" s="1"/>
      <c r="D241" s="1"/>
      <c r="E241" s="365" t="s">
        <v>621</v>
      </c>
      <c r="F241" s="396"/>
      <c r="G241" s="396"/>
      <c r="H241" s="396"/>
      <c r="I241" s="396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</row>
    <row r="242" spans="1:53" s="246" customFormat="1" outlineLevel="1">
      <c r="A242" s="244"/>
      <c r="B242" s="244"/>
      <c r="C242" s="1"/>
      <c r="D242" s="1"/>
      <c r="E242" s="374" t="s">
        <v>706</v>
      </c>
      <c r="F242" s="388">
        <f t="shared" ref="F242:K242" si="145">+IF(F10&lt;&gt;0,ROUND(F57/F10,4),0)</f>
        <v>0</v>
      </c>
      <c r="G242" s="388">
        <f t="shared" si="145"/>
        <v>0</v>
      </c>
      <c r="H242" s="388">
        <f t="shared" si="145"/>
        <v>0</v>
      </c>
      <c r="I242" s="388">
        <f t="shared" si="145"/>
        <v>0</v>
      </c>
      <c r="J242" s="388">
        <f t="shared" si="145"/>
        <v>0.20280000000000001</v>
      </c>
      <c r="K242" s="388">
        <f t="shared" si="145"/>
        <v>0.19070000000000001</v>
      </c>
      <c r="L242" s="397" t="s">
        <v>27</v>
      </c>
      <c r="M242" s="388">
        <f t="shared" ref="M242:BA242" si="146">+IF(M10&lt;&gt;0,ROUND(M57/M10,4),0)</f>
        <v>0.17599999999999999</v>
      </c>
      <c r="N242" s="388">
        <f t="shared" si="146"/>
        <v>0.30320000000000003</v>
      </c>
      <c r="O242" s="388">
        <f t="shared" si="146"/>
        <v>0.2364</v>
      </c>
      <c r="P242" s="388">
        <f t="shared" si="146"/>
        <v>0.28860000000000002</v>
      </c>
      <c r="Q242" s="388">
        <f t="shared" si="146"/>
        <v>0.2429</v>
      </c>
      <c r="R242" s="388">
        <f t="shared" si="146"/>
        <v>0.2</v>
      </c>
      <c r="S242" s="388">
        <f t="shared" si="146"/>
        <v>0.1598</v>
      </c>
      <c r="T242" s="388">
        <f t="shared" si="146"/>
        <v>0.1303</v>
      </c>
      <c r="U242" s="388">
        <f t="shared" si="146"/>
        <v>0.1027</v>
      </c>
      <c r="V242" s="388">
        <f t="shared" si="146"/>
        <v>7.6799999999999993E-2</v>
      </c>
      <c r="W242" s="388">
        <f t="shared" si="146"/>
        <v>5.2299999999999999E-2</v>
      </c>
      <c r="X242" s="388">
        <f t="shared" si="146"/>
        <v>2.5700000000000001E-2</v>
      </c>
      <c r="Y242" s="388">
        <f t="shared" si="146"/>
        <v>0</v>
      </c>
      <c r="Z242" s="388">
        <f t="shared" si="146"/>
        <v>0</v>
      </c>
      <c r="AA242" s="388">
        <f t="shared" si="146"/>
        <v>0</v>
      </c>
      <c r="AB242" s="388">
        <f t="shared" si="146"/>
        <v>0</v>
      </c>
      <c r="AC242" s="388">
        <f t="shared" si="146"/>
        <v>0</v>
      </c>
      <c r="AD242" s="388">
        <f t="shared" si="146"/>
        <v>0</v>
      </c>
      <c r="AE242" s="388">
        <f t="shared" si="146"/>
        <v>0</v>
      </c>
      <c r="AF242" s="388">
        <f t="shared" si="146"/>
        <v>0</v>
      </c>
      <c r="AG242" s="388">
        <f t="shared" si="146"/>
        <v>0</v>
      </c>
      <c r="AH242" s="388">
        <f t="shared" si="146"/>
        <v>0</v>
      </c>
      <c r="AI242" s="388">
        <f t="shared" si="146"/>
        <v>0</v>
      </c>
      <c r="AJ242" s="388">
        <f t="shared" si="146"/>
        <v>0</v>
      </c>
      <c r="AK242" s="388">
        <f t="shared" si="146"/>
        <v>0</v>
      </c>
      <c r="AL242" s="388">
        <f t="shared" si="146"/>
        <v>0</v>
      </c>
      <c r="AM242" s="388">
        <f t="shared" si="146"/>
        <v>0</v>
      </c>
      <c r="AN242" s="388">
        <f t="shared" si="146"/>
        <v>0</v>
      </c>
      <c r="AO242" s="388">
        <f t="shared" si="146"/>
        <v>0</v>
      </c>
      <c r="AP242" s="388">
        <f t="shared" si="146"/>
        <v>0</v>
      </c>
      <c r="AQ242" s="388">
        <f t="shared" si="146"/>
        <v>0</v>
      </c>
      <c r="AR242" s="388">
        <f t="shared" si="146"/>
        <v>0</v>
      </c>
      <c r="AS242" s="388">
        <f t="shared" si="146"/>
        <v>0</v>
      </c>
      <c r="AT242" s="388">
        <f t="shared" si="146"/>
        <v>0</v>
      </c>
      <c r="AU242" s="388">
        <f t="shared" si="146"/>
        <v>0</v>
      </c>
      <c r="AV242" s="388">
        <f t="shared" si="146"/>
        <v>0</v>
      </c>
      <c r="AW242" s="388">
        <f t="shared" si="146"/>
        <v>0</v>
      </c>
      <c r="AX242" s="388">
        <f t="shared" si="146"/>
        <v>0</v>
      </c>
      <c r="AY242" s="388">
        <f t="shared" si="146"/>
        <v>0</v>
      </c>
      <c r="AZ242" s="388">
        <f t="shared" si="146"/>
        <v>0</v>
      </c>
      <c r="BA242" s="389">
        <f t="shared" si="146"/>
        <v>0</v>
      </c>
    </row>
    <row r="243" spans="1:53" s="246" customFormat="1" outlineLevel="1">
      <c r="A243" s="244"/>
      <c r="B243" s="244"/>
      <c r="C243" s="1"/>
      <c r="D243" s="1"/>
      <c r="E243" s="392" t="s">
        <v>622</v>
      </c>
      <c r="F243" s="390">
        <f t="shared" ref="F243:K243" si="147">+IF(F57&lt;&gt;0,ROUND(F26/F57,4),0)</f>
        <v>0</v>
      </c>
      <c r="G243" s="390">
        <f t="shared" si="147"/>
        <v>0</v>
      </c>
      <c r="H243" s="390">
        <f t="shared" si="147"/>
        <v>0</v>
      </c>
      <c r="I243" s="390">
        <f t="shared" si="147"/>
        <v>0</v>
      </c>
      <c r="J243" s="390">
        <f t="shared" si="147"/>
        <v>3.61E-2</v>
      </c>
      <c r="K243" s="390">
        <f t="shared" si="147"/>
        <v>3.44E-2</v>
      </c>
      <c r="L243" s="400" t="s">
        <v>27</v>
      </c>
      <c r="M243" s="390">
        <f t="shared" ref="M243:BA243" si="148">+IF(M57&lt;&gt;0,ROUND(M26/M57,4),0)</f>
        <v>2.3599999999999999E-2</v>
      </c>
      <c r="N243" s="390">
        <f t="shared" si="148"/>
        <v>1.9E-2</v>
      </c>
      <c r="O243" s="390">
        <f t="shared" si="148"/>
        <v>3.2500000000000001E-2</v>
      </c>
      <c r="P243" s="390">
        <f t="shared" si="148"/>
        <v>3.2500000000000001E-2</v>
      </c>
      <c r="Q243" s="390">
        <f t="shared" si="148"/>
        <v>3.27E-2</v>
      </c>
      <c r="R243" s="390">
        <f t="shared" si="148"/>
        <v>3.2800000000000003E-2</v>
      </c>
      <c r="S243" s="390">
        <f t="shared" si="148"/>
        <v>3.3000000000000002E-2</v>
      </c>
      <c r="T243" s="390">
        <f t="shared" si="148"/>
        <v>3.2199999999999999E-2</v>
      </c>
      <c r="U243" s="390">
        <f t="shared" si="148"/>
        <v>3.2899999999999999E-2</v>
      </c>
      <c r="V243" s="390">
        <f t="shared" si="148"/>
        <v>3.5299999999999998E-2</v>
      </c>
      <c r="W243" s="390">
        <f t="shared" si="148"/>
        <v>4.0099999999999997E-2</v>
      </c>
      <c r="X243" s="390">
        <f t="shared" si="148"/>
        <v>5.2499999999999998E-2</v>
      </c>
      <c r="Y243" s="390">
        <f t="shared" si="148"/>
        <v>0</v>
      </c>
      <c r="Z243" s="390">
        <f t="shared" si="148"/>
        <v>0</v>
      </c>
      <c r="AA243" s="390">
        <f t="shared" si="148"/>
        <v>0</v>
      </c>
      <c r="AB243" s="390">
        <f t="shared" si="148"/>
        <v>0</v>
      </c>
      <c r="AC243" s="390">
        <f t="shared" si="148"/>
        <v>0</v>
      </c>
      <c r="AD243" s="390">
        <f t="shared" si="148"/>
        <v>0</v>
      </c>
      <c r="AE243" s="390">
        <f t="shared" si="148"/>
        <v>0</v>
      </c>
      <c r="AF243" s="390">
        <f t="shared" si="148"/>
        <v>0</v>
      </c>
      <c r="AG243" s="390">
        <f t="shared" si="148"/>
        <v>0</v>
      </c>
      <c r="AH243" s="390">
        <f t="shared" si="148"/>
        <v>0</v>
      </c>
      <c r="AI243" s="390">
        <f t="shared" si="148"/>
        <v>0</v>
      </c>
      <c r="AJ243" s="390">
        <f t="shared" si="148"/>
        <v>0</v>
      </c>
      <c r="AK243" s="390">
        <f t="shared" si="148"/>
        <v>0</v>
      </c>
      <c r="AL243" s="390">
        <f t="shared" si="148"/>
        <v>0</v>
      </c>
      <c r="AM243" s="390">
        <f t="shared" si="148"/>
        <v>0</v>
      </c>
      <c r="AN243" s="390">
        <f t="shared" si="148"/>
        <v>0</v>
      </c>
      <c r="AO243" s="390">
        <f t="shared" si="148"/>
        <v>0</v>
      </c>
      <c r="AP243" s="390">
        <f t="shared" si="148"/>
        <v>0</v>
      </c>
      <c r="AQ243" s="390">
        <f t="shared" si="148"/>
        <v>0</v>
      </c>
      <c r="AR243" s="390">
        <f t="shared" si="148"/>
        <v>0</v>
      </c>
      <c r="AS243" s="390">
        <f t="shared" si="148"/>
        <v>0</v>
      </c>
      <c r="AT243" s="390">
        <f t="shared" si="148"/>
        <v>0</v>
      </c>
      <c r="AU243" s="390">
        <f t="shared" si="148"/>
        <v>0</v>
      </c>
      <c r="AV243" s="390">
        <f t="shared" si="148"/>
        <v>0</v>
      </c>
      <c r="AW243" s="390">
        <f t="shared" si="148"/>
        <v>0</v>
      </c>
      <c r="AX243" s="390">
        <f t="shared" si="148"/>
        <v>0</v>
      </c>
      <c r="AY243" s="390">
        <f t="shared" si="148"/>
        <v>0</v>
      </c>
      <c r="AZ243" s="390">
        <f t="shared" si="148"/>
        <v>0</v>
      </c>
      <c r="BA243" s="391">
        <f t="shared" si="148"/>
        <v>0</v>
      </c>
    </row>
    <row r="244" spans="1:53" s="246" customFormat="1" outlineLevel="1">
      <c r="A244" s="244"/>
      <c r="B244" s="244"/>
      <c r="C244" s="1"/>
      <c r="D244" s="1"/>
      <c r="E244" s="392" t="s">
        <v>691</v>
      </c>
      <c r="F244" s="390">
        <f>+IF(F47&lt;&gt;0,ROUND(F26/F47,4),0)</f>
        <v>0</v>
      </c>
      <c r="G244" s="390">
        <f>+IF(G47&lt;&gt;0,ROUND(G26/G47,4),0)</f>
        <v>0</v>
      </c>
      <c r="H244" s="390">
        <f>+IF(H47&lt;&gt;0,ROUND(H26/H47,4),0)</f>
        <v>0</v>
      </c>
      <c r="I244" s="390">
        <f>+IF(I47&lt;&gt;0,ROUND(I26/I47,4),0)</f>
        <v>0</v>
      </c>
      <c r="J244" s="390">
        <f>+IF(J47&lt;&gt;0,ROUND(J26/J47,4),0)</f>
        <v>0</v>
      </c>
      <c r="K244" s="390">
        <f t="shared" ref="K244:BA244" si="149">+IF(K47&lt;&gt;0,ROUND(K26/K47,4),0)</f>
        <v>0</v>
      </c>
      <c r="L244" s="390">
        <f t="shared" si="149"/>
        <v>0.16</v>
      </c>
      <c r="M244" s="390">
        <f t="shared" si="149"/>
        <v>0.1409</v>
      </c>
      <c r="N244" s="390">
        <f t="shared" si="149"/>
        <v>0</v>
      </c>
      <c r="O244" s="390">
        <f t="shared" si="149"/>
        <v>0.28310000000000002</v>
      </c>
      <c r="P244" s="390">
        <f t="shared" si="149"/>
        <v>0.2631</v>
      </c>
      <c r="Q244" s="390">
        <f t="shared" si="149"/>
        <v>0.22070000000000001</v>
      </c>
      <c r="R244" s="390">
        <f t="shared" si="149"/>
        <v>0.1888</v>
      </c>
      <c r="S244" s="390">
        <f t="shared" si="149"/>
        <v>0.15690000000000001</v>
      </c>
      <c r="T244" s="390">
        <f t="shared" si="149"/>
        <v>0.17199999999999999</v>
      </c>
      <c r="U244" s="390">
        <f t="shared" si="149"/>
        <v>0.14280000000000001</v>
      </c>
      <c r="V244" s="390">
        <f t="shared" si="149"/>
        <v>0.11749999999999999</v>
      </c>
      <c r="W244" s="390">
        <f t="shared" si="149"/>
        <v>9.3600000000000003E-2</v>
      </c>
      <c r="X244" s="390">
        <f t="shared" si="149"/>
        <v>5.2499999999999998E-2</v>
      </c>
      <c r="Y244" s="390">
        <f t="shared" si="149"/>
        <v>1.7500000000000002E-2</v>
      </c>
      <c r="Z244" s="390">
        <f t="shared" si="149"/>
        <v>0</v>
      </c>
      <c r="AA244" s="390">
        <f t="shared" si="149"/>
        <v>0</v>
      </c>
      <c r="AB244" s="390">
        <f t="shared" si="149"/>
        <v>0</v>
      </c>
      <c r="AC244" s="390">
        <f t="shared" si="149"/>
        <v>0</v>
      </c>
      <c r="AD244" s="390">
        <f t="shared" si="149"/>
        <v>0</v>
      </c>
      <c r="AE244" s="390">
        <f t="shared" si="149"/>
        <v>0</v>
      </c>
      <c r="AF244" s="390">
        <f t="shared" si="149"/>
        <v>0</v>
      </c>
      <c r="AG244" s="390">
        <f t="shared" si="149"/>
        <v>0</v>
      </c>
      <c r="AH244" s="390">
        <f t="shared" si="149"/>
        <v>0</v>
      </c>
      <c r="AI244" s="390">
        <f t="shared" si="149"/>
        <v>0</v>
      </c>
      <c r="AJ244" s="390">
        <f t="shared" si="149"/>
        <v>0</v>
      </c>
      <c r="AK244" s="390">
        <f t="shared" si="149"/>
        <v>0</v>
      </c>
      <c r="AL244" s="390">
        <f t="shared" si="149"/>
        <v>0</v>
      </c>
      <c r="AM244" s="390">
        <f t="shared" si="149"/>
        <v>0</v>
      </c>
      <c r="AN244" s="390">
        <f t="shared" si="149"/>
        <v>0</v>
      </c>
      <c r="AO244" s="390">
        <f t="shared" si="149"/>
        <v>0</v>
      </c>
      <c r="AP244" s="390">
        <f t="shared" si="149"/>
        <v>0</v>
      </c>
      <c r="AQ244" s="390">
        <f t="shared" si="149"/>
        <v>0</v>
      </c>
      <c r="AR244" s="390">
        <f t="shared" si="149"/>
        <v>0</v>
      </c>
      <c r="AS244" s="390">
        <f t="shared" si="149"/>
        <v>0</v>
      </c>
      <c r="AT244" s="390">
        <f t="shared" si="149"/>
        <v>0</v>
      </c>
      <c r="AU244" s="390">
        <f t="shared" si="149"/>
        <v>0</v>
      </c>
      <c r="AV244" s="390">
        <f t="shared" si="149"/>
        <v>0</v>
      </c>
      <c r="AW244" s="390">
        <f t="shared" si="149"/>
        <v>0</v>
      </c>
      <c r="AX244" s="390">
        <f t="shared" si="149"/>
        <v>0</v>
      </c>
      <c r="AY244" s="390">
        <f t="shared" si="149"/>
        <v>0</v>
      </c>
      <c r="AZ244" s="390">
        <f t="shared" si="149"/>
        <v>0</v>
      </c>
      <c r="BA244" s="391">
        <f t="shared" si="149"/>
        <v>0</v>
      </c>
    </row>
    <row r="245" spans="1:53" s="246" customFormat="1" outlineLevel="1">
      <c r="A245" s="244"/>
      <c r="B245" s="244"/>
      <c r="C245" s="1"/>
      <c r="D245" s="1"/>
      <c r="E245" s="392" t="s">
        <v>623</v>
      </c>
      <c r="F245" s="390">
        <f>+IF(F10&lt;&gt;0,ROUND(F60/F10,4),0)</f>
        <v>6.25E-2</v>
      </c>
      <c r="G245" s="390">
        <f>+IF(G10&lt;&gt;0,ROUND(G60/G10,4),0)</f>
        <v>0.1022</v>
      </c>
      <c r="H245" s="390">
        <f>+IF(H10&lt;&gt;0,ROUND(H60/H10,4),0)</f>
        <v>8.4400000000000003E-2</v>
      </c>
      <c r="I245" s="390">
        <f>+IF(I10&lt;&gt;0,ROUND(I60/I10,4),0)</f>
        <v>8.5400000000000004E-2</v>
      </c>
      <c r="J245" s="390">
        <f>+IF(J10&lt;&gt;0,ROUND(J60/J10,4),0)</f>
        <v>9.9900000000000003E-2</v>
      </c>
      <c r="K245" s="390">
        <f t="shared" ref="K245:BA245" si="150">+IF(K10&lt;&gt;0,ROUND(K60/K10,4),0)</f>
        <v>7.3400000000000007E-2</v>
      </c>
      <c r="L245" s="390">
        <f t="shared" si="150"/>
        <v>3.8300000000000001E-2</v>
      </c>
      <c r="M245" s="390">
        <f t="shared" si="150"/>
        <v>0.1293</v>
      </c>
      <c r="N245" s="390">
        <f t="shared" si="150"/>
        <v>1.7399999999999999E-2</v>
      </c>
      <c r="O245" s="390">
        <f t="shared" si="150"/>
        <v>2.5899999999999999E-2</v>
      </c>
      <c r="P245" s="390">
        <f t="shared" si="150"/>
        <v>4.5499999999999999E-2</v>
      </c>
      <c r="Q245" s="390">
        <f t="shared" si="150"/>
        <v>5.6000000000000001E-2</v>
      </c>
      <c r="R245" s="390">
        <f t="shared" si="150"/>
        <v>6.6400000000000001E-2</v>
      </c>
      <c r="S245" s="390">
        <f t="shared" si="150"/>
        <v>7.5700000000000003E-2</v>
      </c>
      <c r="T245" s="390">
        <f t="shared" si="150"/>
        <v>8.3799999999999999E-2</v>
      </c>
      <c r="U245" s="390">
        <f t="shared" si="150"/>
        <v>8.9899999999999994E-2</v>
      </c>
      <c r="V245" s="390">
        <f t="shared" si="150"/>
        <v>9.4100000000000003E-2</v>
      </c>
      <c r="W245" s="390">
        <f t="shared" si="150"/>
        <v>9.74E-2</v>
      </c>
      <c r="X245" s="390">
        <f t="shared" si="150"/>
        <v>0.10059999999999999</v>
      </c>
      <c r="Y245" s="390">
        <f t="shared" si="150"/>
        <v>0.1024</v>
      </c>
      <c r="Z245" s="390">
        <f t="shared" si="150"/>
        <v>0</v>
      </c>
      <c r="AA245" s="390">
        <f t="shared" si="150"/>
        <v>0</v>
      </c>
      <c r="AB245" s="390">
        <f t="shared" si="150"/>
        <v>0</v>
      </c>
      <c r="AC245" s="390">
        <f t="shared" si="150"/>
        <v>0</v>
      </c>
      <c r="AD245" s="390">
        <f t="shared" si="150"/>
        <v>0</v>
      </c>
      <c r="AE245" s="390">
        <f t="shared" si="150"/>
        <v>0</v>
      </c>
      <c r="AF245" s="390">
        <f t="shared" si="150"/>
        <v>0</v>
      </c>
      <c r="AG245" s="390">
        <f t="shared" si="150"/>
        <v>0</v>
      </c>
      <c r="AH245" s="390">
        <f t="shared" si="150"/>
        <v>0</v>
      </c>
      <c r="AI245" s="390">
        <f t="shared" si="150"/>
        <v>0</v>
      </c>
      <c r="AJ245" s="390">
        <f t="shared" si="150"/>
        <v>0</v>
      </c>
      <c r="AK245" s="390">
        <f t="shared" si="150"/>
        <v>0</v>
      </c>
      <c r="AL245" s="390">
        <f t="shared" si="150"/>
        <v>0</v>
      </c>
      <c r="AM245" s="390">
        <f t="shared" si="150"/>
        <v>0</v>
      </c>
      <c r="AN245" s="390">
        <f t="shared" si="150"/>
        <v>0</v>
      </c>
      <c r="AO245" s="390">
        <f t="shared" si="150"/>
        <v>0</v>
      </c>
      <c r="AP245" s="390">
        <f t="shared" si="150"/>
        <v>0</v>
      </c>
      <c r="AQ245" s="390">
        <f t="shared" si="150"/>
        <v>0</v>
      </c>
      <c r="AR245" s="390">
        <f t="shared" si="150"/>
        <v>0</v>
      </c>
      <c r="AS245" s="390">
        <f t="shared" si="150"/>
        <v>0</v>
      </c>
      <c r="AT245" s="390">
        <f t="shared" si="150"/>
        <v>0</v>
      </c>
      <c r="AU245" s="390">
        <f t="shared" si="150"/>
        <v>0</v>
      </c>
      <c r="AV245" s="390">
        <f t="shared" si="150"/>
        <v>0</v>
      </c>
      <c r="AW245" s="390">
        <f t="shared" si="150"/>
        <v>0</v>
      </c>
      <c r="AX245" s="390">
        <f t="shared" si="150"/>
        <v>0</v>
      </c>
      <c r="AY245" s="390">
        <f t="shared" si="150"/>
        <v>0</v>
      </c>
      <c r="AZ245" s="390">
        <f t="shared" si="150"/>
        <v>0</v>
      </c>
      <c r="BA245" s="391">
        <f t="shared" si="150"/>
        <v>0</v>
      </c>
    </row>
    <row r="246" spans="1:53" s="246" customFormat="1" outlineLevel="1">
      <c r="A246" s="244"/>
      <c r="B246" s="244"/>
      <c r="C246" s="1"/>
      <c r="D246" s="1"/>
      <c r="E246" s="392" t="s">
        <v>624</v>
      </c>
      <c r="F246" s="390">
        <f>+IF(F11&lt;&gt;0,ROUND(F60/F11,4),0)</f>
        <v>6.9199999999999998E-2</v>
      </c>
      <c r="G246" s="390">
        <f>+IF(G11&lt;&gt;0,ROUND(G60/G11,4),0)</f>
        <v>0.1192</v>
      </c>
      <c r="H246" s="390">
        <f>+IF(H11&lt;&gt;0,ROUND(H60/H11,4),0)</f>
        <v>9.3700000000000006E-2</v>
      </c>
      <c r="I246" s="390">
        <f>+IF(I11&lt;&gt;0,ROUND(I60/I11,4),0)</f>
        <v>0.10489999999999999</v>
      </c>
      <c r="J246" s="390">
        <f>+IF(J11&lt;&gt;0,ROUND(J60/J11,4),0)</f>
        <v>0.12959999999999999</v>
      </c>
      <c r="K246" s="390">
        <f t="shared" ref="K246:BA246" si="151">+IF(K11&lt;&gt;0,ROUND(K60/K11,4),0)</f>
        <v>9.5799999999999996E-2</v>
      </c>
      <c r="L246" s="390">
        <f t="shared" si="151"/>
        <v>4.2599999999999999E-2</v>
      </c>
      <c r="M246" s="390">
        <f t="shared" si="151"/>
        <v>0.1552</v>
      </c>
      <c r="N246" s="390">
        <f t="shared" si="151"/>
        <v>2.12E-2</v>
      </c>
      <c r="O246" s="390">
        <f t="shared" si="151"/>
        <v>3.7100000000000001E-2</v>
      </c>
      <c r="P246" s="390">
        <f t="shared" si="151"/>
        <v>4.5999999999999999E-2</v>
      </c>
      <c r="Q246" s="390">
        <f t="shared" si="151"/>
        <v>5.6500000000000002E-2</v>
      </c>
      <c r="R246" s="390">
        <f t="shared" si="151"/>
        <v>6.7000000000000004E-2</v>
      </c>
      <c r="S246" s="390">
        <f t="shared" si="151"/>
        <v>7.6300000000000007E-2</v>
      </c>
      <c r="T246" s="390">
        <f t="shared" si="151"/>
        <v>8.4500000000000006E-2</v>
      </c>
      <c r="U246" s="390">
        <f t="shared" si="151"/>
        <v>9.0700000000000003E-2</v>
      </c>
      <c r="V246" s="390">
        <f t="shared" si="151"/>
        <v>9.4899999999999998E-2</v>
      </c>
      <c r="W246" s="390">
        <f t="shared" si="151"/>
        <v>9.8100000000000007E-2</v>
      </c>
      <c r="X246" s="390">
        <f t="shared" si="151"/>
        <v>0.10059999999999999</v>
      </c>
      <c r="Y246" s="390">
        <f t="shared" si="151"/>
        <v>0.1024</v>
      </c>
      <c r="Z246" s="390">
        <f t="shared" si="151"/>
        <v>0</v>
      </c>
      <c r="AA246" s="390">
        <f t="shared" si="151"/>
        <v>0</v>
      </c>
      <c r="AB246" s="390">
        <f t="shared" si="151"/>
        <v>0</v>
      </c>
      <c r="AC246" s="390">
        <f t="shared" si="151"/>
        <v>0</v>
      </c>
      <c r="AD246" s="390">
        <f t="shared" si="151"/>
        <v>0</v>
      </c>
      <c r="AE246" s="390">
        <f t="shared" si="151"/>
        <v>0</v>
      </c>
      <c r="AF246" s="390">
        <f t="shared" si="151"/>
        <v>0</v>
      </c>
      <c r="AG246" s="390">
        <f t="shared" si="151"/>
        <v>0</v>
      </c>
      <c r="AH246" s="390">
        <f t="shared" si="151"/>
        <v>0</v>
      </c>
      <c r="AI246" s="390">
        <f t="shared" si="151"/>
        <v>0</v>
      </c>
      <c r="AJ246" s="390">
        <f t="shared" si="151"/>
        <v>0</v>
      </c>
      <c r="AK246" s="390">
        <f t="shared" si="151"/>
        <v>0</v>
      </c>
      <c r="AL246" s="390">
        <f t="shared" si="151"/>
        <v>0</v>
      </c>
      <c r="AM246" s="390">
        <f t="shared" si="151"/>
        <v>0</v>
      </c>
      <c r="AN246" s="390">
        <f t="shared" si="151"/>
        <v>0</v>
      </c>
      <c r="AO246" s="390">
        <f t="shared" si="151"/>
        <v>0</v>
      </c>
      <c r="AP246" s="390">
        <f t="shared" si="151"/>
        <v>0</v>
      </c>
      <c r="AQ246" s="390">
        <f t="shared" si="151"/>
        <v>0</v>
      </c>
      <c r="AR246" s="390">
        <f t="shared" si="151"/>
        <v>0</v>
      </c>
      <c r="AS246" s="390">
        <f t="shared" si="151"/>
        <v>0</v>
      </c>
      <c r="AT246" s="390">
        <f t="shared" si="151"/>
        <v>0</v>
      </c>
      <c r="AU246" s="390">
        <f t="shared" si="151"/>
        <v>0</v>
      </c>
      <c r="AV246" s="390">
        <f t="shared" si="151"/>
        <v>0</v>
      </c>
      <c r="AW246" s="390">
        <f t="shared" si="151"/>
        <v>0</v>
      </c>
      <c r="AX246" s="390">
        <f t="shared" si="151"/>
        <v>0</v>
      </c>
      <c r="AY246" s="390">
        <f t="shared" si="151"/>
        <v>0</v>
      </c>
      <c r="AZ246" s="390">
        <f t="shared" si="151"/>
        <v>0</v>
      </c>
      <c r="BA246" s="391">
        <f t="shared" si="151"/>
        <v>0</v>
      </c>
    </row>
    <row r="247" spans="1:53" s="246" customFormat="1" ht="36" outlineLevel="1">
      <c r="A247" s="244"/>
      <c r="B247" s="244"/>
      <c r="C247" s="1"/>
      <c r="D247" s="1"/>
      <c r="E247" s="375" t="s">
        <v>625</v>
      </c>
      <c r="F247" s="405">
        <f>+IF(F60&lt;&gt;0,ROUND(F57/F60,4),0)</f>
        <v>0</v>
      </c>
      <c r="G247" s="405">
        <f>+IF(G60&lt;&gt;0,ROUND(G57/G60,4),0)</f>
        <v>0</v>
      </c>
      <c r="H247" s="405">
        <f>+IF(H60&lt;&gt;0,ROUND(H57/H60,4),0)</f>
        <v>0</v>
      </c>
      <c r="I247" s="405">
        <f>+IF(I60&lt;&gt;0,ROUND(I57/I60,4),0)</f>
        <v>0</v>
      </c>
      <c r="J247" s="405">
        <f>+IF(J60&lt;&gt;0,ROUND(J57/J60,4),0)</f>
        <v>2.0289000000000001</v>
      </c>
      <c r="K247" s="405">
        <f t="shared" ref="K247:BA247" si="152">+IF(K60&lt;&gt;0,ROUND(K57/K60,4),0)</f>
        <v>2.5975999999999999</v>
      </c>
      <c r="L247" s="405">
        <f t="shared" si="152"/>
        <v>5.6201999999999996</v>
      </c>
      <c r="M247" s="405">
        <f t="shared" si="152"/>
        <v>1.3617999999999999</v>
      </c>
      <c r="N247" s="405">
        <f t="shared" si="152"/>
        <v>17.4011</v>
      </c>
      <c r="O247" s="405">
        <f t="shared" si="152"/>
        <v>9.1424000000000003</v>
      </c>
      <c r="P247" s="405">
        <f t="shared" si="152"/>
        <v>6.3387000000000002</v>
      </c>
      <c r="Q247" s="405">
        <f t="shared" si="152"/>
        <v>4.3358999999999996</v>
      </c>
      <c r="R247" s="405">
        <f t="shared" si="152"/>
        <v>3.0129000000000001</v>
      </c>
      <c r="S247" s="405">
        <f t="shared" si="152"/>
        <v>2.1118000000000001</v>
      </c>
      <c r="T247" s="405">
        <f t="shared" si="152"/>
        <v>1.5546</v>
      </c>
      <c r="U247" s="405">
        <f t="shared" si="152"/>
        <v>1.1423000000000001</v>
      </c>
      <c r="V247" s="405">
        <f t="shared" si="152"/>
        <v>0.81610000000000005</v>
      </c>
      <c r="W247" s="405">
        <f t="shared" si="152"/>
        <v>0.5373</v>
      </c>
      <c r="X247" s="405">
        <f t="shared" si="152"/>
        <v>0.255</v>
      </c>
      <c r="Y247" s="405">
        <f t="shared" si="152"/>
        <v>0</v>
      </c>
      <c r="Z247" s="405">
        <f t="shared" si="152"/>
        <v>0</v>
      </c>
      <c r="AA247" s="405">
        <f t="shared" si="152"/>
        <v>0</v>
      </c>
      <c r="AB247" s="405">
        <f t="shared" si="152"/>
        <v>0</v>
      </c>
      <c r="AC247" s="405">
        <f t="shared" si="152"/>
        <v>0</v>
      </c>
      <c r="AD247" s="405">
        <f t="shared" si="152"/>
        <v>0</v>
      </c>
      <c r="AE247" s="405">
        <f t="shared" si="152"/>
        <v>0</v>
      </c>
      <c r="AF247" s="405">
        <f t="shared" si="152"/>
        <v>0</v>
      </c>
      <c r="AG247" s="405">
        <f t="shared" si="152"/>
        <v>0</v>
      </c>
      <c r="AH247" s="405">
        <f t="shared" si="152"/>
        <v>0</v>
      </c>
      <c r="AI247" s="405">
        <f t="shared" si="152"/>
        <v>0</v>
      </c>
      <c r="AJ247" s="405">
        <f t="shared" si="152"/>
        <v>0</v>
      </c>
      <c r="AK247" s="405">
        <f t="shared" si="152"/>
        <v>0</v>
      </c>
      <c r="AL247" s="405">
        <f t="shared" si="152"/>
        <v>0</v>
      </c>
      <c r="AM247" s="405">
        <f t="shared" si="152"/>
        <v>0</v>
      </c>
      <c r="AN247" s="405">
        <f t="shared" si="152"/>
        <v>0</v>
      </c>
      <c r="AO247" s="405">
        <f t="shared" si="152"/>
        <v>0</v>
      </c>
      <c r="AP247" s="405">
        <f t="shared" si="152"/>
        <v>0</v>
      </c>
      <c r="AQ247" s="405">
        <f t="shared" si="152"/>
        <v>0</v>
      </c>
      <c r="AR247" s="405">
        <f t="shared" si="152"/>
        <v>0</v>
      </c>
      <c r="AS247" s="405">
        <f t="shared" si="152"/>
        <v>0</v>
      </c>
      <c r="AT247" s="405">
        <f t="shared" si="152"/>
        <v>0</v>
      </c>
      <c r="AU247" s="405">
        <f t="shared" si="152"/>
        <v>0</v>
      </c>
      <c r="AV247" s="405">
        <f t="shared" si="152"/>
        <v>0</v>
      </c>
      <c r="AW247" s="405">
        <f t="shared" si="152"/>
        <v>0</v>
      </c>
      <c r="AX247" s="405">
        <f t="shared" si="152"/>
        <v>0</v>
      </c>
      <c r="AY247" s="405">
        <f t="shared" si="152"/>
        <v>0</v>
      </c>
      <c r="AZ247" s="405">
        <f t="shared" si="152"/>
        <v>0</v>
      </c>
      <c r="BA247" s="406">
        <f t="shared" si="152"/>
        <v>0</v>
      </c>
    </row>
    <row r="248" spans="1:53" s="246" customFormat="1">
      <c r="A248" s="244"/>
      <c r="B248" s="24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s="246" customFormat="1" ht="15">
      <c r="A249" s="244"/>
      <c r="B249" s="244"/>
      <c r="C249" s="1"/>
      <c r="D249" s="1"/>
      <c r="E249" s="224" t="s">
        <v>626</v>
      </c>
      <c r="F249" s="147">
        <f t="shared" ref="F249:BA249" si="153">+F$9</f>
        <v>2015</v>
      </c>
      <c r="G249" s="147">
        <f t="shared" si="153"/>
        <v>2016</v>
      </c>
      <c r="H249" s="147">
        <f t="shared" si="153"/>
        <v>2017</v>
      </c>
      <c r="I249" s="147">
        <f t="shared" si="153"/>
        <v>2018</v>
      </c>
      <c r="J249" s="147">
        <f t="shared" si="153"/>
        <v>2019</v>
      </c>
      <c r="K249" s="148">
        <f t="shared" si="153"/>
        <v>2020</v>
      </c>
      <c r="L249" s="148">
        <f t="shared" si="153"/>
        <v>2021</v>
      </c>
      <c r="M249" s="149">
        <f t="shared" si="153"/>
        <v>2021</v>
      </c>
      <c r="N249" s="150">
        <f t="shared" si="153"/>
        <v>2022</v>
      </c>
      <c r="O249" s="151">
        <f t="shared" si="153"/>
        <v>2023</v>
      </c>
      <c r="P249" s="151">
        <f t="shared" si="153"/>
        <v>2024</v>
      </c>
      <c r="Q249" s="151">
        <f t="shared" si="153"/>
        <v>2025</v>
      </c>
      <c r="R249" s="151">
        <f t="shared" si="153"/>
        <v>2026</v>
      </c>
      <c r="S249" s="151">
        <f t="shared" si="153"/>
        <v>2027</v>
      </c>
      <c r="T249" s="151">
        <f t="shared" si="153"/>
        <v>2028</v>
      </c>
      <c r="U249" s="151">
        <f t="shared" si="153"/>
        <v>2029</v>
      </c>
      <c r="V249" s="151">
        <f t="shared" si="153"/>
        <v>2030</v>
      </c>
      <c r="W249" s="151">
        <f t="shared" si="153"/>
        <v>2031</v>
      </c>
      <c r="X249" s="151">
        <f t="shared" si="153"/>
        <v>2032</v>
      </c>
      <c r="Y249" s="151">
        <f t="shared" si="153"/>
        <v>2033</v>
      </c>
      <c r="Z249" s="151">
        <f t="shared" si="153"/>
        <v>2034</v>
      </c>
      <c r="AA249" s="151">
        <f t="shared" si="153"/>
        <v>2035</v>
      </c>
      <c r="AB249" s="151">
        <f t="shared" si="153"/>
        <v>2036</v>
      </c>
      <c r="AC249" s="151">
        <f t="shared" si="153"/>
        <v>2037</v>
      </c>
      <c r="AD249" s="151">
        <f t="shared" si="153"/>
        <v>2038</v>
      </c>
      <c r="AE249" s="151">
        <f t="shared" si="153"/>
        <v>2039</v>
      </c>
      <c r="AF249" s="151">
        <f t="shared" si="153"/>
        <v>2040</v>
      </c>
      <c r="AG249" s="151">
        <f t="shared" si="153"/>
        <v>2041</v>
      </c>
      <c r="AH249" s="151">
        <f t="shared" si="153"/>
        <v>2042</v>
      </c>
      <c r="AI249" s="151">
        <f t="shared" si="153"/>
        <v>2043</v>
      </c>
      <c r="AJ249" s="151">
        <f t="shared" si="153"/>
        <v>2044</v>
      </c>
      <c r="AK249" s="151">
        <f t="shared" si="153"/>
        <v>2045</v>
      </c>
      <c r="AL249" s="151">
        <f t="shared" si="153"/>
        <v>2046</v>
      </c>
      <c r="AM249" s="151">
        <f t="shared" si="153"/>
        <v>2047</v>
      </c>
      <c r="AN249" s="151">
        <f t="shared" si="153"/>
        <v>2048</v>
      </c>
      <c r="AO249" s="151">
        <f t="shared" si="153"/>
        <v>2049</v>
      </c>
      <c r="AP249" s="151">
        <f t="shared" si="153"/>
        <v>2050</v>
      </c>
      <c r="AQ249" s="151">
        <f t="shared" si="153"/>
        <v>2051</v>
      </c>
      <c r="AR249" s="151">
        <f t="shared" si="153"/>
        <v>2052</v>
      </c>
      <c r="AS249" s="151">
        <f t="shared" si="153"/>
        <v>2053</v>
      </c>
      <c r="AT249" s="151">
        <f t="shared" si="153"/>
        <v>2054</v>
      </c>
      <c r="AU249" s="151">
        <f t="shared" si="153"/>
        <v>2055</v>
      </c>
      <c r="AV249" s="151">
        <f t="shared" si="153"/>
        <v>2056</v>
      </c>
      <c r="AW249" s="151">
        <f t="shared" si="153"/>
        <v>2057</v>
      </c>
      <c r="AX249" s="151">
        <f t="shared" si="153"/>
        <v>2058</v>
      </c>
      <c r="AY249" s="151">
        <f t="shared" si="153"/>
        <v>2059</v>
      </c>
      <c r="AZ249" s="151">
        <f t="shared" si="153"/>
        <v>2060</v>
      </c>
      <c r="BA249" s="484">
        <f t="shared" si="153"/>
        <v>2061</v>
      </c>
    </row>
    <row r="250" spans="1:53" s="246" customFormat="1" outlineLevel="1">
      <c r="A250" s="244"/>
      <c r="B250" s="244"/>
      <c r="C250" s="407"/>
      <c r="D250" s="408"/>
      <c r="E250" s="408" t="s">
        <v>627</v>
      </c>
      <c r="F250" s="408"/>
      <c r="G250" s="408"/>
      <c r="H250" s="408"/>
      <c r="I250" s="408"/>
      <c r="J250" s="408"/>
      <c r="K250" s="408"/>
      <c r="L250" s="408"/>
      <c r="M250" s="408"/>
      <c r="N250" s="409">
        <f>+SUM($N$11:N$11)</f>
        <v>49912310</v>
      </c>
      <c r="O250" s="409">
        <f>+SUM($N$11:O$11)</f>
        <v>101320656</v>
      </c>
      <c r="P250" s="409">
        <f>+SUM($N$11:P$11)</f>
        <v>154528293</v>
      </c>
      <c r="Q250" s="409">
        <f>+SUM($N$11:Q$11)</f>
        <v>209598198</v>
      </c>
      <c r="R250" s="409">
        <f>+SUM($N$11:R$11)</f>
        <v>266595549</v>
      </c>
      <c r="S250" s="409">
        <f>+SUM($N$11:S$11)</f>
        <v>325530809</v>
      </c>
      <c r="T250" s="409">
        <f>+SUM($N$11:T$11)</f>
        <v>386410933</v>
      </c>
      <c r="U250" s="409">
        <f>+SUM($N$11:U$11)</f>
        <v>449178341</v>
      </c>
      <c r="V250" s="409">
        <f>+SUM($N$11:V$11)</f>
        <v>513766004</v>
      </c>
      <c r="W250" s="409">
        <f>+SUM($N$11:W$11)</f>
        <v>580162122</v>
      </c>
      <c r="X250" s="409">
        <f>+SUM($N$11:X$11)</f>
        <v>648350935</v>
      </c>
      <c r="Y250" s="409">
        <f>+SUM($N$11:Y$11)</f>
        <v>718312657</v>
      </c>
      <c r="Z250" s="409">
        <f>+SUM($N$11:Z$11)</f>
        <v>718312657</v>
      </c>
      <c r="AA250" s="409">
        <f>+SUM($N$11:AA$11)</f>
        <v>718312657</v>
      </c>
      <c r="AB250" s="409">
        <f>+SUM($N$11:AB$11)</f>
        <v>718312657</v>
      </c>
      <c r="AC250" s="409">
        <f>+SUM($N$11:AC$11)</f>
        <v>718312657</v>
      </c>
      <c r="AD250" s="409">
        <f>+SUM($N$11:AD$11)</f>
        <v>718312657</v>
      </c>
      <c r="AE250" s="409">
        <f>+SUM($N$11:AE$11)</f>
        <v>718312657</v>
      </c>
      <c r="AF250" s="409">
        <f>+SUM($N$11:AF$11)</f>
        <v>718312657</v>
      </c>
      <c r="AG250" s="409">
        <f>+SUM($N$11:AG$11)</f>
        <v>718312657</v>
      </c>
      <c r="AH250" s="409">
        <f>+SUM($N$11:AH$11)</f>
        <v>718312657</v>
      </c>
      <c r="AI250" s="409">
        <f>+SUM($N$11:AI$11)</f>
        <v>718312657</v>
      </c>
      <c r="AJ250" s="409">
        <f>+SUM($N$11:AJ$11)</f>
        <v>718312657</v>
      </c>
      <c r="AK250" s="409">
        <f>+SUM($N$11:AK$11)</f>
        <v>718312657</v>
      </c>
      <c r="AL250" s="409">
        <f>+SUM($N$11:AL$11)</f>
        <v>718312657</v>
      </c>
      <c r="AM250" s="409">
        <f>+SUM($N$11:AM$11)</f>
        <v>718312657</v>
      </c>
      <c r="AN250" s="409">
        <f>+SUM($N$11:AN$11)</f>
        <v>718312657</v>
      </c>
      <c r="AO250" s="409">
        <f>+SUM($N$11:AO$11)</f>
        <v>718312657</v>
      </c>
      <c r="AP250" s="409">
        <f>+SUM($N$11:AP$11)</f>
        <v>718312657</v>
      </c>
      <c r="AQ250" s="409">
        <f>+SUM($N$11:AQ$11)</f>
        <v>718312657</v>
      </c>
      <c r="AR250" s="409">
        <f>+SUM($N$11:AR$11)</f>
        <v>718312657</v>
      </c>
      <c r="AS250" s="409">
        <f>+SUM($N$11:AS$11)</f>
        <v>718312657</v>
      </c>
      <c r="AT250" s="409">
        <f>+SUM($N$11:AT$11)</f>
        <v>718312657</v>
      </c>
      <c r="AU250" s="409">
        <f>+SUM($N$11:AU$11)</f>
        <v>718312657</v>
      </c>
      <c r="AV250" s="409">
        <f>+SUM($N$11:AV$11)</f>
        <v>718312657</v>
      </c>
      <c r="AW250" s="409">
        <f>+SUM($N$11:AW$11)</f>
        <v>718312657</v>
      </c>
      <c r="AX250" s="409">
        <f>+SUM($N$11:AX$11)</f>
        <v>718312657</v>
      </c>
      <c r="AY250" s="409">
        <f>+SUM($N$11:AY$11)</f>
        <v>718312657</v>
      </c>
      <c r="AZ250" s="409">
        <f>+SUM($N$11:AZ$11)</f>
        <v>718312657</v>
      </c>
      <c r="BA250" s="410">
        <f>+SUM($N$11:BA$11)</f>
        <v>718312657</v>
      </c>
    </row>
    <row r="251" spans="1:53" s="246" customFormat="1" outlineLevel="1">
      <c r="A251" s="244"/>
      <c r="B251" s="244"/>
      <c r="C251" s="411"/>
      <c r="D251" s="412"/>
      <c r="E251" s="412" t="s">
        <v>628</v>
      </c>
      <c r="F251" s="412"/>
      <c r="G251" s="412"/>
      <c r="H251" s="412"/>
      <c r="I251" s="412"/>
      <c r="J251" s="412"/>
      <c r="K251" s="412"/>
      <c r="L251" s="412"/>
      <c r="M251" s="412"/>
      <c r="N251" s="413">
        <f>+SUM($N$22:N$22)</f>
        <v>48854045</v>
      </c>
      <c r="O251" s="413">
        <f>+SUM($N$22:O$22)</f>
        <v>98357537</v>
      </c>
      <c r="P251" s="413">
        <f>+SUM($N$22:P$22)</f>
        <v>149119890</v>
      </c>
      <c r="Q251" s="413">
        <f>+SUM($N$22:Q$22)</f>
        <v>201076262</v>
      </c>
      <c r="R251" s="413">
        <f>+SUM($N$22:R$22)</f>
        <v>254256708</v>
      </c>
      <c r="S251" s="413">
        <f>+SUM($N$22:S$22)</f>
        <v>308693425</v>
      </c>
      <c r="T251" s="413">
        <f>+SUM($N$22:T$22)</f>
        <v>364427390</v>
      </c>
      <c r="U251" s="413">
        <f>+SUM($N$22:U$22)</f>
        <v>421504405</v>
      </c>
      <c r="V251" s="413">
        <f>+SUM($N$22:V$22)</f>
        <v>479965142</v>
      </c>
      <c r="W251" s="413">
        <f>+SUM($N$22:W$22)</f>
        <v>539847140</v>
      </c>
      <c r="X251" s="413">
        <f>+SUM($N$22:X$22)</f>
        <v>601174127</v>
      </c>
      <c r="Y251" s="413">
        <f>+SUM($N$22:Y$22)</f>
        <v>663970742</v>
      </c>
      <c r="Z251" s="413">
        <f>+SUM($N$22:Z$22)</f>
        <v>663970742</v>
      </c>
      <c r="AA251" s="413">
        <f>+SUM($N$22:AA$22)</f>
        <v>663970742</v>
      </c>
      <c r="AB251" s="413">
        <f>+SUM($N$22:AB$22)</f>
        <v>663970742</v>
      </c>
      <c r="AC251" s="413">
        <f>+SUM($N$22:AC$22)</f>
        <v>663970742</v>
      </c>
      <c r="AD251" s="413">
        <f>+SUM($N$22:AD$22)</f>
        <v>663970742</v>
      </c>
      <c r="AE251" s="413">
        <f>+SUM($N$22:AE$22)</f>
        <v>663970742</v>
      </c>
      <c r="AF251" s="413">
        <f>+SUM($N$22:AF$22)</f>
        <v>663970742</v>
      </c>
      <c r="AG251" s="413">
        <f>+SUM($N$22:AG$22)</f>
        <v>663970742</v>
      </c>
      <c r="AH251" s="413">
        <f>+SUM($N$22:AH$22)</f>
        <v>663970742</v>
      </c>
      <c r="AI251" s="413">
        <f>+SUM($N$22:AI$22)</f>
        <v>663970742</v>
      </c>
      <c r="AJ251" s="413">
        <f>+SUM($N$22:AJ$22)</f>
        <v>663970742</v>
      </c>
      <c r="AK251" s="413">
        <f>+SUM($N$22:AK$22)</f>
        <v>663970742</v>
      </c>
      <c r="AL251" s="413">
        <f>+SUM($N$22:AL$22)</f>
        <v>663970742</v>
      </c>
      <c r="AM251" s="413">
        <f>+SUM($N$22:AM$22)</f>
        <v>663970742</v>
      </c>
      <c r="AN251" s="413">
        <f>+SUM($N$22:AN$22)</f>
        <v>663970742</v>
      </c>
      <c r="AO251" s="413">
        <f>+SUM($N$22:AO$22)</f>
        <v>663970742</v>
      </c>
      <c r="AP251" s="413">
        <f>+SUM($N$22:AP$22)</f>
        <v>663970742</v>
      </c>
      <c r="AQ251" s="413">
        <f>+SUM($N$22:AQ$22)</f>
        <v>663970742</v>
      </c>
      <c r="AR251" s="413">
        <f>+SUM($N$22:AR$22)</f>
        <v>663970742</v>
      </c>
      <c r="AS251" s="413">
        <f>+SUM($N$22:AS$22)</f>
        <v>663970742</v>
      </c>
      <c r="AT251" s="413">
        <f>+SUM($N$22:AT$22)</f>
        <v>663970742</v>
      </c>
      <c r="AU251" s="413">
        <f>+SUM($N$22:AU$22)</f>
        <v>663970742</v>
      </c>
      <c r="AV251" s="413">
        <f>+SUM($N$22:AV$22)</f>
        <v>663970742</v>
      </c>
      <c r="AW251" s="413">
        <f>+SUM($N$22:AW$22)</f>
        <v>663970742</v>
      </c>
      <c r="AX251" s="413">
        <f>+SUM($N$22:AX$22)</f>
        <v>663970742</v>
      </c>
      <c r="AY251" s="413">
        <f>+SUM($N$22:AY$22)</f>
        <v>663970742</v>
      </c>
      <c r="AZ251" s="413">
        <f>+SUM($N$22:AZ$22)</f>
        <v>663970742</v>
      </c>
      <c r="BA251" s="414">
        <f>+SUM($N$22:BA$22)</f>
        <v>663970742</v>
      </c>
    </row>
    <row r="252" spans="1:53" s="246" customFormat="1" outlineLevel="1">
      <c r="A252" s="244"/>
      <c r="B252" s="244"/>
      <c r="C252" s="415"/>
      <c r="D252" s="416"/>
      <c r="E252" s="417" t="s">
        <v>629</v>
      </c>
      <c r="F252" s="417"/>
      <c r="G252" s="417"/>
      <c r="H252" s="417"/>
      <c r="I252" s="417"/>
      <c r="J252" s="418"/>
      <c r="K252" s="417"/>
      <c r="L252" s="417"/>
      <c r="M252" s="417"/>
      <c r="N252" s="418">
        <f>+SUM($N$60:N$60)</f>
        <v>1058265</v>
      </c>
      <c r="O252" s="418">
        <f>+SUM($N$60:O$60)</f>
        <v>2963119</v>
      </c>
      <c r="P252" s="418">
        <f>+SUM($N$60:P$60)</f>
        <v>5408403</v>
      </c>
      <c r="Q252" s="418">
        <f>+SUM($N$60:Q$60)</f>
        <v>8521936</v>
      </c>
      <c r="R252" s="418">
        <f>+SUM($N$60:R$60)</f>
        <v>12338841</v>
      </c>
      <c r="S252" s="418">
        <f>+SUM($N$60:S$60)</f>
        <v>16837384</v>
      </c>
      <c r="T252" s="418">
        <f>+SUM($N$60:T$60)</f>
        <v>21983543</v>
      </c>
      <c r="U252" s="418">
        <f>+SUM($N$60:U$60)</f>
        <v>27673936</v>
      </c>
      <c r="V252" s="418">
        <f>+SUM($N$60:V$60)</f>
        <v>33800862</v>
      </c>
      <c r="W252" s="418">
        <f>+SUM($N$60:W$60)</f>
        <v>40314982</v>
      </c>
      <c r="X252" s="418">
        <f>+SUM($N$60:X$60)</f>
        <v>47176808</v>
      </c>
      <c r="Y252" s="418">
        <f>+SUM($N$60:Y$60)</f>
        <v>54341915</v>
      </c>
      <c r="Z252" s="418">
        <f>+SUM($N$60:Z$60)</f>
        <v>54341915</v>
      </c>
      <c r="AA252" s="418">
        <f>+SUM($N$60:AA$60)</f>
        <v>54341915</v>
      </c>
      <c r="AB252" s="418">
        <f>+SUM($N$60:AB$60)</f>
        <v>54341915</v>
      </c>
      <c r="AC252" s="418">
        <f>+SUM($N$60:AC$60)</f>
        <v>54341915</v>
      </c>
      <c r="AD252" s="418">
        <f>+SUM($N$60:AD$60)</f>
        <v>54341915</v>
      </c>
      <c r="AE252" s="418">
        <f>+SUM($N$60:AE$60)</f>
        <v>54341915</v>
      </c>
      <c r="AF252" s="418">
        <f>+SUM($N$60:AF$60)</f>
        <v>54341915</v>
      </c>
      <c r="AG252" s="418">
        <f>+SUM($N$60:AG$60)</f>
        <v>54341915</v>
      </c>
      <c r="AH252" s="418">
        <f>+SUM($N$60:AH$60)</f>
        <v>54341915</v>
      </c>
      <c r="AI252" s="418">
        <f>+SUM($N$60:AI$60)</f>
        <v>54341915</v>
      </c>
      <c r="AJ252" s="418">
        <f>+SUM($N$60:AJ$60)</f>
        <v>54341915</v>
      </c>
      <c r="AK252" s="418">
        <f>+SUM($N$60:AK$60)</f>
        <v>54341915</v>
      </c>
      <c r="AL252" s="418">
        <f>+SUM($N$60:AL$60)</f>
        <v>54341915</v>
      </c>
      <c r="AM252" s="418">
        <f>+SUM($N$60:AM$60)</f>
        <v>54341915</v>
      </c>
      <c r="AN252" s="418">
        <f>+SUM($N$60:AN$60)</f>
        <v>54341915</v>
      </c>
      <c r="AO252" s="418">
        <f>+SUM($N$60:AO$60)</f>
        <v>54341915</v>
      </c>
      <c r="AP252" s="418">
        <f>+SUM($N$60:AP$60)</f>
        <v>54341915</v>
      </c>
      <c r="AQ252" s="418">
        <f>+SUM($N$60:AQ$60)</f>
        <v>54341915</v>
      </c>
      <c r="AR252" s="418">
        <f>+SUM($N$60:AR$60)</f>
        <v>54341915</v>
      </c>
      <c r="AS252" s="418">
        <f>+SUM($N$60:AS$60)</f>
        <v>54341915</v>
      </c>
      <c r="AT252" s="418">
        <f>+SUM($N$60:AT$60)</f>
        <v>54341915</v>
      </c>
      <c r="AU252" s="418">
        <f>+SUM($N$60:AU$60)</f>
        <v>54341915</v>
      </c>
      <c r="AV252" s="418">
        <f>+SUM($N$60:AV$60)</f>
        <v>54341915</v>
      </c>
      <c r="AW252" s="418">
        <f>+SUM($N$60:AW$60)</f>
        <v>54341915</v>
      </c>
      <c r="AX252" s="418">
        <f>+SUM($N$60:AX$60)</f>
        <v>54341915</v>
      </c>
      <c r="AY252" s="418">
        <f>+SUM($N$60:AY$60)</f>
        <v>54341915</v>
      </c>
      <c r="AZ252" s="418">
        <f>+SUM($N$60:AZ$60)</f>
        <v>54341915</v>
      </c>
      <c r="BA252" s="419">
        <f>+SUM($N$60:BA$60)</f>
        <v>54341915</v>
      </c>
    </row>
    <row r="253" spans="1:53" s="246" customFormat="1" outlineLevel="1">
      <c r="A253" s="244"/>
      <c r="B253" s="244"/>
      <c r="C253" s="420"/>
      <c r="D253" s="421"/>
      <c r="E253" s="421" t="s">
        <v>630</v>
      </c>
      <c r="F253" s="421"/>
      <c r="G253" s="421"/>
      <c r="H253" s="421"/>
      <c r="I253" s="421"/>
      <c r="J253" s="422"/>
      <c r="K253" s="421"/>
      <c r="L253" s="421"/>
      <c r="M253" s="421"/>
      <c r="N253" s="422">
        <f>+SUM($N$47:N$47)</f>
        <v>0</v>
      </c>
      <c r="O253" s="422">
        <f>+SUM($N$47:O$47)</f>
        <v>2000000</v>
      </c>
      <c r="P253" s="422">
        <f>+SUM($N$47:P$47)</f>
        <v>3915000</v>
      </c>
      <c r="Q253" s="422">
        <f>+SUM($N$47:Q$47)</f>
        <v>5915000</v>
      </c>
      <c r="R253" s="422">
        <f>+SUM($N$47:R$47)</f>
        <v>7915000</v>
      </c>
      <c r="S253" s="422">
        <f>+SUM($N$47:S$47)</f>
        <v>9915000</v>
      </c>
      <c r="T253" s="422">
        <f>+SUM($N$47:T$47)</f>
        <v>11415000</v>
      </c>
      <c r="U253" s="422">
        <f>+SUM($N$47:U$47)</f>
        <v>12915000</v>
      </c>
      <c r="V253" s="422">
        <f>+SUM($N$47:V$47)</f>
        <v>14415000</v>
      </c>
      <c r="W253" s="422">
        <f>+SUM($N$47:W$47)</f>
        <v>15915000</v>
      </c>
      <c r="X253" s="422">
        <f>+SUM($N$47:X$47)</f>
        <v>17665000</v>
      </c>
      <c r="Y253" s="422">
        <f>+SUM($N$47:Y$47)</f>
        <v>19415000</v>
      </c>
      <c r="Z253" s="422">
        <f>+SUM($N$47:Z$47)</f>
        <v>19415000</v>
      </c>
      <c r="AA253" s="422">
        <f>+SUM($N$47:AA$47)</f>
        <v>19415000</v>
      </c>
      <c r="AB253" s="422">
        <f>+SUM($N$47:AB$47)</f>
        <v>19415000</v>
      </c>
      <c r="AC253" s="422">
        <f>+SUM($N$47:AC$47)</f>
        <v>19415000</v>
      </c>
      <c r="AD253" s="422">
        <f>+SUM($N$47:AD$47)</f>
        <v>19415000</v>
      </c>
      <c r="AE253" s="422">
        <f>+SUM($N$47:AE$47)</f>
        <v>19415000</v>
      </c>
      <c r="AF253" s="422">
        <f>+SUM($N$47:AF$47)</f>
        <v>19415000</v>
      </c>
      <c r="AG253" s="422">
        <f>+SUM($N$47:AG$47)</f>
        <v>19415000</v>
      </c>
      <c r="AH253" s="422">
        <f>+SUM($N$47:AH$47)</f>
        <v>19415000</v>
      </c>
      <c r="AI253" s="422">
        <f>+SUM($N$47:AI$47)</f>
        <v>19415000</v>
      </c>
      <c r="AJ253" s="422">
        <f>+SUM($N$47:AJ$47)</f>
        <v>19415000</v>
      </c>
      <c r="AK253" s="422">
        <f>+SUM($N$47:AK$47)</f>
        <v>19415000</v>
      </c>
      <c r="AL253" s="422">
        <f>+SUM($N$47:AL$47)</f>
        <v>19415000</v>
      </c>
      <c r="AM253" s="422">
        <f>+SUM($N$47:AM$47)</f>
        <v>19415000</v>
      </c>
      <c r="AN253" s="422">
        <f>+SUM($N$47:AN$47)</f>
        <v>19415000</v>
      </c>
      <c r="AO253" s="422">
        <f>+SUM($N$47:AO$47)</f>
        <v>19415000</v>
      </c>
      <c r="AP253" s="422">
        <f>+SUM($N$47:AP$47)</f>
        <v>19415000</v>
      </c>
      <c r="AQ253" s="422">
        <f>+SUM($N$47:AQ$47)</f>
        <v>19415000</v>
      </c>
      <c r="AR253" s="422">
        <f>+SUM($N$47:AR$47)</f>
        <v>19415000</v>
      </c>
      <c r="AS253" s="422">
        <f>+SUM($N$47:AS$47)</f>
        <v>19415000</v>
      </c>
      <c r="AT253" s="422">
        <f>+SUM($N$47:AT$47)</f>
        <v>19415000</v>
      </c>
      <c r="AU253" s="422">
        <f>+SUM($N$47:AU$47)</f>
        <v>19415000</v>
      </c>
      <c r="AV253" s="422">
        <f>+SUM($N$47:AV$47)</f>
        <v>19415000</v>
      </c>
      <c r="AW253" s="422">
        <f>+SUM($N$47:AW$47)</f>
        <v>19415000</v>
      </c>
      <c r="AX253" s="422">
        <f>+SUM($N$47:AX$47)</f>
        <v>19415000</v>
      </c>
      <c r="AY253" s="422">
        <f>+SUM($N$47:AY$47)</f>
        <v>19415000</v>
      </c>
      <c r="AZ253" s="422">
        <f>+SUM($N$47:AZ$47)</f>
        <v>19415000</v>
      </c>
      <c r="BA253" s="423">
        <f>+SUM($N$47:BA$47)</f>
        <v>19415000</v>
      </c>
    </row>
    <row r="254" spans="1:53" s="246" customFormat="1" outlineLevel="1">
      <c r="A254" s="244"/>
      <c r="B254" s="244"/>
      <c r="C254" s="424"/>
      <c r="D254" s="425"/>
      <c r="E254" s="425" t="s">
        <v>631</v>
      </c>
      <c r="F254" s="425"/>
      <c r="G254" s="425"/>
      <c r="H254" s="425"/>
      <c r="I254" s="425"/>
      <c r="J254" s="426"/>
      <c r="K254" s="425"/>
      <c r="L254" s="425"/>
      <c r="M254" s="425"/>
      <c r="N254" s="426">
        <f>+SUM($N$101:N$101)</f>
        <v>0</v>
      </c>
      <c r="O254" s="426">
        <f>+SUM($N$101:O$101)</f>
        <v>0</v>
      </c>
      <c r="P254" s="426">
        <f>+SUM($N$101:P$101)</f>
        <v>0</v>
      </c>
      <c r="Q254" s="426">
        <f>+SUM($N$101:Q$101)</f>
        <v>0</v>
      </c>
      <c r="R254" s="426">
        <f>+SUM($N$101:R$101)</f>
        <v>0</v>
      </c>
      <c r="S254" s="426">
        <f>+SUM($N$101:S$101)</f>
        <v>0</v>
      </c>
      <c r="T254" s="426">
        <f>+SUM($N$101:T$101)</f>
        <v>0</v>
      </c>
      <c r="U254" s="426">
        <f>+SUM($N$101:U$101)</f>
        <v>0</v>
      </c>
      <c r="V254" s="426">
        <f>+SUM($N$101:V$101)</f>
        <v>0</v>
      </c>
      <c r="W254" s="426">
        <f>+SUM($N$101:W$101)</f>
        <v>0</v>
      </c>
      <c r="X254" s="426">
        <f>+SUM($N$101:X$101)</f>
        <v>0</v>
      </c>
      <c r="Y254" s="426">
        <f>+SUM($N$101:Y$101)</f>
        <v>0</v>
      </c>
      <c r="Z254" s="426">
        <f>+SUM($N$101:Z$101)</f>
        <v>0</v>
      </c>
      <c r="AA254" s="426">
        <f>+SUM($N$101:AA$101)</f>
        <v>0</v>
      </c>
      <c r="AB254" s="426">
        <f>+SUM($N$101:AB$101)</f>
        <v>0</v>
      </c>
      <c r="AC254" s="426">
        <f>+SUM($N$101:AC$101)</f>
        <v>0</v>
      </c>
      <c r="AD254" s="426">
        <f>+SUM($N$101:AD$101)</f>
        <v>0</v>
      </c>
      <c r="AE254" s="426">
        <f>+SUM($N$101:AE$101)</f>
        <v>0</v>
      </c>
      <c r="AF254" s="426">
        <f>+SUM($N$101:AF$101)</f>
        <v>0</v>
      </c>
      <c r="AG254" s="426">
        <f>+SUM($N$101:AG$101)</f>
        <v>0</v>
      </c>
      <c r="AH254" s="426">
        <f>+SUM($N$101:AH$101)</f>
        <v>0</v>
      </c>
      <c r="AI254" s="426">
        <f>+SUM($N$101:AI$101)</f>
        <v>0</v>
      </c>
      <c r="AJ254" s="426">
        <f>+SUM($N$101:AJ$101)</f>
        <v>0</v>
      </c>
      <c r="AK254" s="426">
        <f>+SUM($N$101:AK$101)</f>
        <v>0</v>
      </c>
      <c r="AL254" s="426">
        <f>+SUM($N$101:AL$101)</f>
        <v>0</v>
      </c>
      <c r="AM254" s="426">
        <f>+SUM($N$101:AM$101)</f>
        <v>0</v>
      </c>
      <c r="AN254" s="426">
        <f>+SUM($N$101:AN$101)</f>
        <v>0</v>
      </c>
      <c r="AO254" s="426">
        <f>+SUM($N$101:AO$101)</f>
        <v>0</v>
      </c>
      <c r="AP254" s="426">
        <f>+SUM($N$101:AP$101)</f>
        <v>0</v>
      </c>
      <c r="AQ254" s="426">
        <f>+SUM($N$101:AQ$101)</f>
        <v>0</v>
      </c>
      <c r="AR254" s="426">
        <f>+SUM($N$101:AR$101)</f>
        <v>0</v>
      </c>
      <c r="AS254" s="426">
        <f>+SUM($N$101:AS$101)</f>
        <v>0</v>
      </c>
      <c r="AT254" s="426">
        <f>+SUM($N$101:AT$101)</f>
        <v>0</v>
      </c>
      <c r="AU254" s="426">
        <f>+SUM($N$101:AU$101)</f>
        <v>0</v>
      </c>
      <c r="AV254" s="426">
        <f>+SUM($N$101:AV$101)</f>
        <v>0</v>
      </c>
      <c r="AW254" s="426">
        <f>+SUM($N$101:AW$101)</f>
        <v>0</v>
      </c>
      <c r="AX254" s="426">
        <f>+SUM($N$101:AX$101)</f>
        <v>0</v>
      </c>
      <c r="AY254" s="426">
        <f>+SUM($N$101:AY$101)</f>
        <v>0</v>
      </c>
      <c r="AZ254" s="426">
        <f>+SUM($N$101:AZ$101)</f>
        <v>0</v>
      </c>
      <c r="BA254" s="427">
        <f>+SUM($N$101:BA$101)</f>
        <v>0</v>
      </c>
    </row>
    <row r="255" spans="1:53" s="246" customFormat="1" outlineLevel="1">
      <c r="A255" s="244"/>
      <c r="B255" s="244"/>
      <c r="C255" s="415"/>
      <c r="D255" s="416"/>
      <c r="E255" s="417" t="s">
        <v>632</v>
      </c>
      <c r="F255" s="417"/>
      <c r="G255" s="417"/>
      <c r="H255" s="417"/>
      <c r="I255" s="417"/>
      <c r="J255" s="417"/>
      <c r="K255" s="417"/>
      <c r="L255" s="417"/>
      <c r="M255" s="417"/>
      <c r="N255" s="418">
        <f t="shared" ref="N255:BA255" si="154">+N252-SUM(N253:N254)</f>
        <v>1058265</v>
      </c>
      <c r="O255" s="418">
        <f t="shared" si="154"/>
        <v>963119</v>
      </c>
      <c r="P255" s="418">
        <f t="shared" si="154"/>
        <v>1493403</v>
      </c>
      <c r="Q255" s="418">
        <f t="shared" si="154"/>
        <v>2606936</v>
      </c>
      <c r="R255" s="418">
        <f t="shared" si="154"/>
        <v>4423841</v>
      </c>
      <c r="S255" s="418">
        <f t="shared" si="154"/>
        <v>6922384</v>
      </c>
      <c r="T255" s="418">
        <f t="shared" si="154"/>
        <v>10568543</v>
      </c>
      <c r="U255" s="418">
        <f t="shared" si="154"/>
        <v>14758936</v>
      </c>
      <c r="V255" s="418">
        <f t="shared" si="154"/>
        <v>19385862</v>
      </c>
      <c r="W255" s="418">
        <f t="shared" si="154"/>
        <v>24399982</v>
      </c>
      <c r="X255" s="418">
        <f t="shared" si="154"/>
        <v>29511808</v>
      </c>
      <c r="Y255" s="418">
        <f t="shared" si="154"/>
        <v>34926915</v>
      </c>
      <c r="Z255" s="418">
        <f t="shared" si="154"/>
        <v>34926915</v>
      </c>
      <c r="AA255" s="418">
        <f t="shared" si="154"/>
        <v>34926915</v>
      </c>
      <c r="AB255" s="418">
        <f t="shared" si="154"/>
        <v>34926915</v>
      </c>
      <c r="AC255" s="418">
        <f t="shared" si="154"/>
        <v>34926915</v>
      </c>
      <c r="AD255" s="418">
        <f t="shared" si="154"/>
        <v>34926915</v>
      </c>
      <c r="AE255" s="418">
        <f t="shared" si="154"/>
        <v>34926915</v>
      </c>
      <c r="AF255" s="418">
        <f t="shared" si="154"/>
        <v>34926915</v>
      </c>
      <c r="AG255" s="418">
        <f t="shared" si="154"/>
        <v>34926915</v>
      </c>
      <c r="AH255" s="418">
        <f t="shared" si="154"/>
        <v>34926915</v>
      </c>
      <c r="AI255" s="418">
        <f t="shared" si="154"/>
        <v>34926915</v>
      </c>
      <c r="AJ255" s="418">
        <f t="shared" si="154"/>
        <v>34926915</v>
      </c>
      <c r="AK255" s="418">
        <f t="shared" si="154"/>
        <v>34926915</v>
      </c>
      <c r="AL255" s="418">
        <f t="shared" si="154"/>
        <v>34926915</v>
      </c>
      <c r="AM255" s="418">
        <f t="shared" si="154"/>
        <v>34926915</v>
      </c>
      <c r="AN255" s="418">
        <f t="shared" si="154"/>
        <v>34926915</v>
      </c>
      <c r="AO255" s="418">
        <f t="shared" si="154"/>
        <v>34926915</v>
      </c>
      <c r="AP255" s="418">
        <f t="shared" si="154"/>
        <v>34926915</v>
      </c>
      <c r="AQ255" s="418">
        <f t="shared" si="154"/>
        <v>34926915</v>
      </c>
      <c r="AR255" s="418">
        <f t="shared" si="154"/>
        <v>34926915</v>
      </c>
      <c r="AS255" s="418">
        <f t="shared" si="154"/>
        <v>34926915</v>
      </c>
      <c r="AT255" s="418">
        <f t="shared" si="154"/>
        <v>34926915</v>
      </c>
      <c r="AU255" s="418">
        <f t="shared" si="154"/>
        <v>34926915</v>
      </c>
      <c r="AV255" s="418">
        <f t="shared" si="154"/>
        <v>34926915</v>
      </c>
      <c r="AW255" s="418">
        <f t="shared" si="154"/>
        <v>34926915</v>
      </c>
      <c r="AX255" s="418">
        <f t="shared" si="154"/>
        <v>34926915</v>
      </c>
      <c r="AY255" s="418">
        <f t="shared" si="154"/>
        <v>34926915</v>
      </c>
      <c r="AZ255" s="418">
        <f t="shared" si="154"/>
        <v>34926915</v>
      </c>
      <c r="BA255" s="419">
        <f t="shared" si="154"/>
        <v>34926915</v>
      </c>
    </row>
    <row r="256" spans="1:53" s="246" customFormat="1" outlineLevel="1">
      <c r="A256" s="244"/>
      <c r="B256" s="244"/>
      <c r="C256" s="407"/>
      <c r="D256" s="408"/>
      <c r="E256" s="408" t="s">
        <v>633</v>
      </c>
      <c r="F256" s="408"/>
      <c r="G256" s="408"/>
      <c r="H256" s="408"/>
      <c r="I256" s="408"/>
      <c r="J256" s="408"/>
      <c r="K256" s="408"/>
      <c r="L256" s="408"/>
      <c r="M256" s="408"/>
      <c r="N256" s="409">
        <f>+SUM($N$19:N$19)</f>
        <v>29000</v>
      </c>
      <c r="O256" s="409">
        <f>+SUM($N$19:O$19)</f>
        <v>29000</v>
      </c>
      <c r="P256" s="409">
        <f>+SUM($N$19:P$19)</f>
        <v>29000</v>
      </c>
      <c r="Q256" s="409">
        <f>+SUM($N$19:Q$19)</f>
        <v>29000</v>
      </c>
      <c r="R256" s="409">
        <f>+SUM($N$19:R$19)</f>
        <v>29000</v>
      </c>
      <c r="S256" s="409">
        <f>+SUM($N$19:S$19)</f>
        <v>29000</v>
      </c>
      <c r="T256" s="409">
        <f>+SUM($N$19:T$19)</f>
        <v>29000</v>
      </c>
      <c r="U256" s="409">
        <f>+SUM($N$19:U$19)</f>
        <v>29000</v>
      </c>
      <c r="V256" s="409">
        <f>+SUM($N$19:V$19)</f>
        <v>29000</v>
      </c>
      <c r="W256" s="409">
        <f>+SUM($N$19:W$19)</f>
        <v>29000</v>
      </c>
      <c r="X256" s="409">
        <f>+SUM($N$19:X$19)</f>
        <v>29000</v>
      </c>
      <c r="Y256" s="409">
        <f>+SUM($N$19:Y$19)</f>
        <v>29000</v>
      </c>
      <c r="Z256" s="409">
        <f>+SUM($N$19:Z$19)</f>
        <v>29000</v>
      </c>
      <c r="AA256" s="409">
        <f>+SUM($N$19:AA$19)</f>
        <v>29000</v>
      </c>
      <c r="AB256" s="409">
        <f>+SUM($N$19:AB$19)</f>
        <v>29000</v>
      </c>
      <c r="AC256" s="409">
        <f>+SUM($N$19:AC$19)</f>
        <v>29000</v>
      </c>
      <c r="AD256" s="409">
        <f>+SUM($N$19:AD$19)</f>
        <v>29000</v>
      </c>
      <c r="AE256" s="409">
        <f>+SUM($N$19:AE$19)</f>
        <v>29000</v>
      </c>
      <c r="AF256" s="409">
        <f>+SUM($N$19:AF$19)</f>
        <v>29000</v>
      </c>
      <c r="AG256" s="409">
        <f>+SUM($N$19:AG$19)</f>
        <v>29000</v>
      </c>
      <c r="AH256" s="409">
        <f>+SUM($N$19:AH$19)</f>
        <v>29000</v>
      </c>
      <c r="AI256" s="409">
        <f>+SUM($N$19:AI$19)</f>
        <v>29000</v>
      </c>
      <c r="AJ256" s="409">
        <f>+SUM($N$19:AJ$19)</f>
        <v>29000</v>
      </c>
      <c r="AK256" s="409">
        <f>+SUM($N$19:AK$19)</f>
        <v>29000</v>
      </c>
      <c r="AL256" s="409">
        <f>+SUM($N$19:AL$19)</f>
        <v>29000</v>
      </c>
      <c r="AM256" s="409">
        <f>+SUM($N$19:AM$19)</f>
        <v>29000</v>
      </c>
      <c r="AN256" s="409">
        <f>+SUM($N$19:AN$19)</f>
        <v>29000</v>
      </c>
      <c r="AO256" s="409">
        <f>+SUM($N$19:AO$19)</f>
        <v>29000</v>
      </c>
      <c r="AP256" s="409">
        <f>+SUM($N$19:AP$19)</f>
        <v>29000</v>
      </c>
      <c r="AQ256" s="409">
        <f>+SUM($N$19:AQ$19)</f>
        <v>29000</v>
      </c>
      <c r="AR256" s="409">
        <f>+SUM($N$19:AR$19)</f>
        <v>29000</v>
      </c>
      <c r="AS256" s="409">
        <f>+SUM($N$19:AS$19)</f>
        <v>29000</v>
      </c>
      <c r="AT256" s="409">
        <f>+SUM($N$19:AT$19)</f>
        <v>29000</v>
      </c>
      <c r="AU256" s="409">
        <f>+SUM($N$19:AU$19)</f>
        <v>29000</v>
      </c>
      <c r="AV256" s="409">
        <f>+SUM($N$19:AV$19)</f>
        <v>29000</v>
      </c>
      <c r="AW256" s="409">
        <f>+SUM($N$19:AW$19)</f>
        <v>29000</v>
      </c>
      <c r="AX256" s="409">
        <f>+SUM($N$19:AX$19)</f>
        <v>29000</v>
      </c>
      <c r="AY256" s="409">
        <f>+SUM($N$19:AY$19)</f>
        <v>29000</v>
      </c>
      <c r="AZ256" s="409">
        <f>+SUM($N$19:AZ$19)</f>
        <v>29000</v>
      </c>
      <c r="BA256" s="410">
        <f>+SUM($N$19:BA$19)</f>
        <v>29000</v>
      </c>
    </row>
    <row r="257" spans="1:53" s="246" customFormat="1" outlineLevel="1">
      <c r="A257" s="244"/>
      <c r="B257" s="244"/>
      <c r="C257" s="424"/>
      <c r="D257" s="425"/>
      <c r="E257" s="425" t="s">
        <v>634</v>
      </c>
      <c r="F257" s="425"/>
      <c r="G257" s="425"/>
      <c r="H257" s="425"/>
      <c r="I257" s="425"/>
      <c r="J257" s="425"/>
      <c r="K257" s="425"/>
      <c r="L257" s="425"/>
      <c r="M257" s="425"/>
      <c r="N257" s="426">
        <f>+SUM($N$20:N$20)</f>
        <v>10785085</v>
      </c>
      <c r="O257" s="426">
        <f>+SUM($N$20:O$20)</f>
        <v>33035085</v>
      </c>
      <c r="P257" s="426">
        <f>+SUM($N$20:P$20)</f>
        <v>33535085</v>
      </c>
      <c r="Q257" s="426">
        <f>+SUM($N$20:Q$20)</f>
        <v>34035085</v>
      </c>
      <c r="R257" s="426">
        <f>+SUM($N$20:R$20)</f>
        <v>34535085</v>
      </c>
      <c r="S257" s="426">
        <f>+SUM($N$20:S$20)</f>
        <v>35035085</v>
      </c>
      <c r="T257" s="426">
        <f>+SUM($N$20:T$20)</f>
        <v>35535085</v>
      </c>
      <c r="U257" s="426">
        <f>+SUM($N$20:U$20)</f>
        <v>36035085</v>
      </c>
      <c r="V257" s="426">
        <f>+SUM($N$20:V$20)</f>
        <v>36535085</v>
      </c>
      <c r="W257" s="426">
        <f>+SUM($N$20:W$20)</f>
        <v>37035085</v>
      </c>
      <c r="X257" s="426">
        <f>+SUM($N$20:X$20)</f>
        <v>37035085</v>
      </c>
      <c r="Y257" s="426">
        <f>+SUM($N$20:Y$20)</f>
        <v>37035085</v>
      </c>
      <c r="Z257" s="426">
        <f>+SUM($N$20:Z$20)</f>
        <v>37035085</v>
      </c>
      <c r="AA257" s="426">
        <f>+SUM($N$20:AA$20)</f>
        <v>37035085</v>
      </c>
      <c r="AB257" s="426">
        <f>+SUM($N$20:AB$20)</f>
        <v>37035085</v>
      </c>
      <c r="AC257" s="426">
        <f>+SUM($N$20:AC$20)</f>
        <v>37035085</v>
      </c>
      <c r="AD257" s="426">
        <f>+SUM($N$20:AD$20)</f>
        <v>37035085</v>
      </c>
      <c r="AE257" s="426">
        <f>+SUM($N$20:AE$20)</f>
        <v>37035085</v>
      </c>
      <c r="AF257" s="426">
        <f>+SUM($N$20:AF$20)</f>
        <v>37035085</v>
      </c>
      <c r="AG257" s="426">
        <f>+SUM($N$20:AG$20)</f>
        <v>37035085</v>
      </c>
      <c r="AH257" s="426">
        <f>+SUM($N$20:AH$20)</f>
        <v>37035085</v>
      </c>
      <c r="AI257" s="426">
        <f>+SUM($N$20:AI$20)</f>
        <v>37035085</v>
      </c>
      <c r="AJ257" s="426">
        <f>+SUM($N$20:AJ$20)</f>
        <v>37035085</v>
      </c>
      <c r="AK257" s="426">
        <f>+SUM($N$20:AK$20)</f>
        <v>37035085</v>
      </c>
      <c r="AL257" s="426">
        <f>+SUM($N$20:AL$20)</f>
        <v>37035085</v>
      </c>
      <c r="AM257" s="426">
        <f>+SUM($N$20:AM$20)</f>
        <v>37035085</v>
      </c>
      <c r="AN257" s="426">
        <f>+SUM($N$20:AN$20)</f>
        <v>37035085</v>
      </c>
      <c r="AO257" s="426">
        <f>+SUM($N$20:AO$20)</f>
        <v>37035085</v>
      </c>
      <c r="AP257" s="426">
        <f>+SUM($N$20:AP$20)</f>
        <v>37035085</v>
      </c>
      <c r="AQ257" s="426">
        <f>+SUM($N$20:AQ$20)</f>
        <v>37035085</v>
      </c>
      <c r="AR257" s="426">
        <f>+SUM($N$20:AR$20)</f>
        <v>37035085</v>
      </c>
      <c r="AS257" s="426">
        <f>+SUM($N$20:AS$20)</f>
        <v>37035085</v>
      </c>
      <c r="AT257" s="426">
        <f>+SUM($N$20:AT$20)</f>
        <v>37035085</v>
      </c>
      <c r="AU257" s="426">
        <f>+SUM($N$20:AU$20)</f>
        <v>37035085</v>
      </c>
      <c r="AV257" s="426">
        <f>+SUM($N$20:AV$20)</f>
        <v>37035085</v>
      </c>
      <c r="AW257" s="426">
        <f>+SUM($N$20:AW$20)</f>
        <v>37035085</v>
      </c>
      <c r="AX257" s="426">
        <f>+SUM($N$20:AX$20)</f>
        <v>37035085</v>
      </c>
      <c r="AY257" s="426">
        <f>+SUM($N$20:AY$20)</f>
        <v>37035085</v>
      </c>
      <c r="AZ257" s="426">
        <f>+SUM($N$20:AZ$20)</f>
        <v>37035085</v>
      </c>
      <c r="BA257" s="427">
        <f>+SUM($N$20:BA$20)</f>
        <v>37035085</v>
      </c>
    </row>
    <row r="258" spans="1:53" s="246" customFormat="1" outlineLevel="1">
      <c r="A258" s="244"/>
      <c r="B258" s="244"/>
      <c r="C258" s="428"/>
      <c r="D258" s="429"/>
      <c r="E258" s="429" t="s">
        <v>635</v>
      </c>
      <c r="F258" s="429"/>
      <c r="G258" s="429"/>
      <c r="H258" s="429"/>
      <c r="I258" s="429"/>
      <c r="J258" s="429"/>
      <c r="K258" s="429"/>
      <c r="L258" s="429"/>
      <c r="M258" s="429"/>
      <c r="N258" s="430">
        <f>+SUM($N$30:N$30)</f>
        <v>26534888</v>
      </c>
      <c r="O258" s="430">
        <f>+SUM($N$30:O$30)</f>
        <v>49689742</v>
      </c>
      <c r="P258" s="430">
        <f>+SUM($N$30:P$30)</f>
        <v>50720026</v>
      </c>
      <c r="Q258" s="430">
        <f>+SUM($N$30:Q$30)</f>
        <v>52333559</v>
      </c>
      <c r="R258" s="430">
        <f>+SUM($N$30:R$30)</f>
        <v>54650464</v>
      </c>
      <c r="S258" s="430">
        <f>+SUM($N$30:S$30)</f>
        <v>57649007</v>
      </c>
      <c r="T258" s="430">
        <f>+SUM($N$30:T$30)</f>
        <v>61795166</v>
      </c>
      <c r="U258" s="430">
        <f>+SUM($N$30:U$30)</f>
        <v>66485559</v>
      </c>
      <c r="V258" s="430">
        <f>+SUM($N$30:V$30)</f>
        <v>71612485</v>
      </c>
      <c r="W258" s="430">
        <f>+SUM($N$30:W$30)</f>
        <v>77126605</v>
      </c>
      <c r="X258" s="430">
        <f>+SUM($N$30:X$30)</f>
        <v>82238431</v>
      </c>
      <c r="Y258" s="430">
        <f>+SUM($N$30:Y$30)</f>
        <v>87653538</v>
      </c>
      <c r="Z258" s="430">
        <f>+SUM($N$30:Z$30)</f>
        <v>87653538</v>
      </c>
      <c r="AA258" s="430">
        <f>+SUM($N$30:AA$30)</f>
        <v>87653538</v>
      </c>
      <c r="AB258" s="430">
        <f>+SUM($N$30:AB$30)</f>
        <v>87653538</v>
      </c>
      <c r="AC258" s="430">
        <f>+SUM($N$30:AC$30)</f>
        <v>87653538</v>
      </c>
      <c r="AD258" s="430">
        <f>+SUM($N$30:AD$30)</f>
        <v>87653538</v>
      </c>
      <c r="AE258" s="430">
        <f>+SUM($N$30:AE$30)</f>
        <v>87653538</v>
      </c>
      <c r="AF258" s="430">
        <f>+SUM($N$30:AF$30)</f>
        <v>87653538</v>
      </c>
      <c r="AG258" s="430">
        <f>+SUM($N$30:AG$30)</f>
        <v>87653538</v>
      </c>
      <c r="AH258" s="430">
        <f>+SUM($N$30:AH$30)</f>
        <v>87653538</v>
      </c>
      <c r="AI258" s="430">
        <f>+SUM($N$30:AI$30)</f>
        <v>87653538</v>
      </c>
      <c r="AJ258" s="430">
        <f>+SUM($N$30:AJ$30)</f>
        <v>87653538</v>
      </c>
      <c r="AK258" s="430">
        <f>+SUM($N$30:AK$30)</f>
        <v>87653538</v>
      </c>
      <c r="AL258" s="430">
        <f>+SUM($N$30:AL$30)</f>
        <v>87653538</v>
      </c>
      <c r="AM258" s="430">
        <f>+SUM($N$30:AM$30)</f>
        <v>87653538</v>
      </c>
      <c r="AN258" s="430">
        <f>+SUM($N$30:AN$30)</f>
        <v>87653538</v>
      </c>
      <c r="AO258" s="430">
        <f>+SUM($N$30:AO$30)</f>
        <v>87653538</v>
      </c>
      <c r="AP258" s="430">
        <f>+SUM($N$30:AP$30)</f>
        <v>87653538</v>
      </c>
      <c r="AQ258" s="430">
        <f>+SUM($N$30:AQ$30)</f>
        <v>87653538</v>
      </c>
      <c r="AR258" s="430">
        <f>+SUM($N$30:AR$30)</f>
        <v>87653538</v>
      </c>
      <c r="AS258" s="430">
        <f>+SUM($N$30:AS$30)</f>
        <v>87653538</v>
      </c>
      <c r="AT258" s="430">
        <f>+SUM($N$30:AT$30)</f>
        <v>87653538</v>
      </c>
      <c r="AU258" s="430">
        <f>+SUM($N$30:AU$30)</f>
        <v>87653538</v>
      </c>
      <c r="AV258" s="430">
        <f>+SUM($N$30:AV$30)</f>
        <v>87653538</v>
      </c>
      <c r="AW258" s="430">
        <f>+SUM($N$30:AW$30)</f>
        <v>87653538</v>
      </c>
      <c r="AX258" s="430">
        <f>+SUM($N$30:AX$30)</f>
        <v>87653538</v>
      </c>
      <c r="AY258" s="430">
        <f>+SUM($N$30:AY$30)</f>
        <v>87653538</v>
      </c>
      <c r="AZ258" s="430">
        <f>+SUM($N$30:AZ$30)</f>
        <v>87653538</v>
      </c>
      <c r="BA258" s="431">
        <f>+SUM($N$30:BA$30)</f>
        <v>87653538</v>
      </c>
    </row>
    <row r="259" spans="1:53" s="246" customFormat="1" outlineLevel="1">
      <c r="A259" s="244"/>
      <c r="B259" s="244"/>
      <c r="C259" s="432"/>
      <c r="D259" s="433"/>
      <c r="E259" s="434" t="s">
        <v>636</v>
      </c>
      <c r="F259" s="434"/>
      <c r="G259" s="434"/>
      <c r="H259" s="434"/>
      <c r="I259" s="434"/>
      <c r="J259" s="434"/>
      <c r="K259" s="434"/>
      <c r="L259" s="434"/>
      <c r="M259" s="434"/>
      <c r="N259" s="435">
        <f t="shared" ref="N259:BA259" si="155">+N256+N257-N258</f>
        <v>-15720803</v>
      </c>
      <c r="O259" s="435">
        <f t="shared" si="155"/>
        <v>-16625657</v>
      </c>
      <c r="P259" s="435">
        <f t="shared" si="155"/>
        <v>-17155941</v>
      </c>
      <c r="Q259" s="435">
        <f t="shared" si="155"/>
        <v>-18269474</v>
      </c>
      <c r="R259" s="435">
        <f t="shared" si="155"/>
        <v>-20086379</v>
      </c>
      <c r="S259" s="435">
        <f t="shared" si="155"/>
        <v>-22584922</v>
      </c>
      <c r="T259" s="435">
        <f t="shared" si="155"/>
        <v>-26231081</v>
      </c>
      <c r="U259" s="435">
        <f t="shared" si="155"/>
        <v>-30421474</v>
      </c>
      <c r="V259" s="435">
        <f t="shared" si="155"/>
        <v>-35048400</v>
      </c>
      <c r="W259" s="435">
        <f t="shared" si="155"/>
        <v>-40062520</v>
      </c>
      <c r="X259" s="435">
        <f t="shared" si="155"/>
        <v>-45174346</v>
      </c>
      <c r="Y259" s="435">
        <f t="shared" si="155"/>
        <v>-50589453</v>
      </c>
      <c r="Z259" s="435">
        <f t="shared" si="155"/>
        <v>-50589453</v>
      </c>
      <c r="AA259" s="435">
        <f t="shared" si="155"/>
        <v>-50589453</v>
      </c>
      <c r="AB259" s="435">
        <f t="shared" si="155"/>
        <v>-50589453</v>
      </c>
      <c r="AC259" s="435">
        <f t="shared" si="155"/>
        <v>-50589453</v>
      </c>
      <c r="AD259" s="435">
        <f t="shared" si="155"/>
        <v>-50589453</v>
      </c>
      <c r="AE259" s="435">
        <f t="shared" si="155"/>
        <v>-50589453</v>
      </c>
      <c r="AF259" s="435">
        <f t="shared" si="155"/>
        <v>-50589453</v>
      </c>
      <c r="AG259" s="435">
        <f t="shared" si="155"/>
        <v>-50589453</v>
      </c>
      <c r="AH259" s="435">
        <f t="shared" si="155"/>
        <v>-50589453</v>
      </c>
      <c r="AI259" s="435">
        <f t="shared" si="155"/>
        <v>-50589453</v>
      </c>
      <c r="AJ259" s="435">
        <f t="shared" si="155"/>
        <v>-50589453</v>
      </c>
      <c r="AK259" s="435">
        <f t="shared" si="155"/>
        <v>-50589453</v>
      </c>
      <c r="AL259" s="435">
        <f t="shared" si="155"/>
        <v>-50589453</v>
      </c>
      <c r="AM259" s="435">
        <f t="shared" si="155"/>
        <v>-50589453</v>
      </c>
      <c r="AN259" s="435">
        <f t="shared" si="155"/>
        <v>-50589453</v>
      </c>
      <c r="AO259" s="435">
        <f t="shared" si="155"/>
        <v>-50589453</v>
      </c>
      <c r="AP259" s="435">
        <f t="shared" si="155"/>
        <v>-50589453</v>
      </c>
      <c r="AQ259" s="435">
        <f t="shared" si="155"/>
        <v>-50589453</v>
      </c>
      <c r="AR259" s="435">
        <f t="shared" si="155"/>
        <v>-50589453</v>
      </c>
      <c r="AS259" s="435">
        <f t="shared" si="155"/>
        <v>-50589453</v>
      </c>
      <c r="AT259" s="435">
        <f t="shared" si="155"/>
        <v>-50589453</v>
      </c>
      <c r="AU259" s="435">
        <f t="shared" si="155"/>
        <v>-50589453</v>
      </c>
      <c r="AV259" s="435">
        <f t="shared" si="155"/>
        <v>-50589453</v>
      </c>
      <c r="AW259" s="435">
        <f t="shared" si="155"/>
        <v>-50589453</v>
      </c>
      <c r="AX259" s="435">
        <f t="shared" si="155"/>
        <v>-50589453</v>
      </c>
      <c r="AY259" s="435">
        <f t="shared" si="155"/>
        <v>-50589453</v>
      </c>
      <c r="AZ259" s="435">
        <f t="shared" si="155"/>
        <v>-50589453</v>
      </c>
      <c r="BA259" s="436">
        <f t="shared" si="155"/>
        <v>-50589453</v>
      </c>
    </row>
    <row r="260" spans="1:53" s="246" customFormat="1" ht="15">
      <c r="A260" s="244"/>
      <c r="B260" s="244"/>
      <c r="C260" s="1"/>
      <c r="D260" s="1"/>
      <c r="E260" s="224"/>
      <c r="F260" s="224"/>
      <c r="G260" s="224"/>
      <c r="H260" s="224"/>
      <c r="I260" s="22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s="246" customFormat="1" ht="15">
      <c r="A261" s="244"/>
      <c r="B261" s="244"/>
      <c r="C261" s="1"/>
      <c r="D261" s="1"/>
      <c r="E261" s="224" t="s">
        <v>637</v>
      </c>
      <c r="F261" s="224"/>
      <c r="G261" s="224"/>
      <c r="H261" s="224"/>
      <c r="I261" s="224"/>
      <c r="J261" s="15"/>
      <c r="K261" s="15"/>
      <c r="L261" s="15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 s="246" customFormat="1" ht="15" outlineLevel="1">
      <c r="A262" s="244"/>
      <c r="B262" s="244"/>
      <c r="C262" s="1"/>
      <c r="D262" s="1"/>
      <c r="E262" s="437" t="s">
        <v>638</v>
      </c>
      <c r="F262" s="437"/>
      <c r="G262" s="437"/>
      <c r="H262" s="437"/>
      <c r="I262" s="437"/>
      <c r="J262" s="15"/>
      <c r="K262" s="15"/>
      <c r="L262" s="15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 s="246" customFormat="1" outlineLevel="1">
      <c r="A263" s="244"/>
      <c r="B263" s="244"/>
      <c r="C263" s="1"/>
      <c r="D263" s="1"/>
      <c r="E263" s="438">
        <v>0.05</v>
      </c>
      <c r="F263" s="15"/>
      <c r="G263" s="15"/>
      <c r="H263" s="15"/>
      <c r="I263" s="15"/>
      <c r="J263" s="15"/>
      <c r="K263" s="15"/>
      <c r="L263" s="15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 s="246" customFormat="1" outlineLevel="1">
      <c r="A264" s="244"/>
      <c r="B264" s="244"/>
      <c r="C264" s="1"/>
      <c r="D264" s="1"/>
      <c r="E264" s="439">
        <v>0.1</v>
      </c>
      <c r="F264" s="15"/>
      <c r="G264" s="15"/>
      <c r="H264" s="15"/>
      <c r="I264" s="15"/>
      <c r="J264" s="15"/>
      <c r="K264" s="15"/>
      <c r="L264" s="15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s="246" customFormat="1" outlineLevel="1">
      <c r="A265" s="244"/>
      <c r="B265" s="244"/>
      <c r="C265" s="1"/>
      <c r="D265" s="1"/>
      <c r="E265" s="440">
        <v>0.2</v>
      </c>
      <c r="F265" s="147">
        <f t="shared" ref="F265:BA265" si="156">+F$9</f>
        <v>2015</v>
      </c>
      <c r="G265" s="147">
        <f t="shared" si="156"/>
        <v>2016</v>
      </c>
      <c r="H265" s="147">
        <f t="shared" si="156"/>
        <v>2017</v>
      </c>
      <c r="I265" s="147">
        <f t="shared" si="156"/>
        <v>2018</v>
      </c>
      <c r="J265" s="147">
        <f t="shared" si="156"/>
        <v>2019</v>
      </c>
      <c r="K265" s="148">
        <f t="shared" si="156"/>
        <v>2020</v>
      </c>
      <c r="L265" s="148">
        <f t="shared" si="156"/>
        <v>2021</v>
      </c>
      <c r="M265" s="149">
        <f t="shared" si="156"/>
        <v>2021</v>
      </c>
      <c r="N265" s="150">
        <f t="shared" si="156"/>
        <v>2022</v>
      </c>
      <c r="O265" s="151">
        <f t="shared" si="156"/>
        <v>2023</v>
      </c>
      <c r="P265" s="151">
        <f t="shared" si="156"/>
        <v>2024</v>
      </c>
      <c r="Q265" s="151">
        <f t="shared" si="156"/>
        <v>2025</v>
      </c>
      <c r="R265" s="151">
        <f t="shared" si="156"/>
        <v>2026</v>
      </c>
      <c r="S265" s="151">
        <f t="shared" si="156"/>
        <v>2027</v>
      </c>
      <c r="T265" s="151">
        <f t="shared" si="156"/>
        <v>2028</v>
      </c>
      <c r="U265" s="151">
        <f t="shared" si="156"/>
        <v>2029</v>
      </c>
      <c r="V265" s="151">
        <f t="shared" si="156"/>
        <v>2030</v>
      </c>
      <c r="W265" s="151">
        <f t="shared" si="156"/>
        <v>2031</v>
      </c>
      <c r="X265" s="151">
        <f t="shared" si="156"/>
        <v>2032</v>
      </c>
      <c r="Y265" s="151">
        <f t="shared" si="156"/>
        <v>2033</v>
      </c>
      <c r="Z265" s="151">
        <f t="shared" si="156"/>
        <v>2034</v>
      </c>
      <c r="AA265" s="151">
        <f t="shared" si="156"/>
        <v>2035</v>
      </c>
      <c r="AB265" s="151">
        <f t="shared" si="156"/>
        <v>2036</v>
      </c>
      <c r="AC265" s="151">
        <f t="shared" si="156"/>
        <v>2037</v>
      </c>
      <c r="AD265" s="151">
        <f t="shared" si="156"/>
        <v>2038</v>
      </c>
      <c r="AE265" s="151">
        <f t="shared" si="156"/>
        <v>2039</v>
      </c>
      <c r="AF265" s="151">
        <f t="shared" si="156"/>
        <v>2040</v>
      </c>
      <c r="AG265" s="151">
        <f t="shared" si="156"/>
        <v>2041</v>
      </c>
      <c r="AH265" s="151">
        <f t="shared" si="156"/>
        <v>2042</v>
      </c>
      <c r="AI265" s="151">
        <f t="shared" si="156"/>
        <v>2043</v>
      </c>
      <c r="AJ265" s="151">
        <f t="shared" si="156"/>
        <v>2044</v>
      </c>
      <c r="AK265" s="151">
        <f t="shared" si="156"/>
        <v>2045</v>
      </c>
      <c r="AL265" s="151">
        <f t="shared" si="156"/>
        <v>2046</v>
      </c>
      <c r="AM265" s="151">
        <f t="shared" si="156"/>
        <v>2047</v>
      </c>
      <c r="AN265" s="151">
        <f t="shared" si="156"/>
        <v>2048</v>
      </c>
      <c r="AO265" s="151">
        <f t="shared" si="156"/>
        <v>2049</v>
      </c>
      <c r="AP265" s="151">
        <f t="shared" si="156"/>
        <v>2050</v>
      </c>
      <c r="AQ265" s="151">
        <f t="shared" si="156"/>
        <v>2051</v>
      </c>
      <c r="AR265" s="151">
        <f t="shared" si="156"/>
        <v>2052</v>
      </c>
      <c r="AS265" s="151">
        <f t="shared" si="156"/>
        <v>2053</v>
      </c>
      <c r="AT265" s="151">
        <f t="shared" si="156"/>
        <v>2054</v>
      </c>
      <c r="AU265" s="151">
        <f t="shared" si="156"/>
        <v>2055</v>
      </c>
      <c r="AV265" s="151">
        <f t="shared" si="156"/>
        <v>2056</v>
      </c>
      <c r="AW265" s="151">
        <f t="shared" si="156"/>
        <v>2057</v>
      </c>
      <c r="AX265" s="151">
        <f t="shared" si="156"/>
        <v>2058</v>
      </c>
      <c r="AY265" s="151">
        <f t="shared" si="156"/>
        <v>2059</v>
      </c>
      <c r="AZ265" s="151">
        <f t="shared" si="156"/>
        <v>2060</v>
      </c>
      <c r="BA265" s="484">
        <f t="shared" si="156"/>
        <v>2061</v>
      </c>
    </row>
    <row r="266" spans="1:53" s="246" customFormat="1" outlineLevel="1">
      <c r="A266" s="244"/>
      <c r="B266" s="244"/>
      <c r="C266" s="441">
        <v>1</v>
      </c>
      <c r="D266" s="442"/>
      <c r="E266" s="443" t="s">
        <v>23</v>
      </c>
      <c r="F266" s="444" t="s">
        <v>27</v>
      </c>
      <c r="G266" s="445">
        <f t="shared" ref="G266:L267" si="157">+IF(F10&lt;&gt;0,ROUND(G10/F10-1,4),0)</f>
        <v>0.13070000000000001</v>
      </c>
      <c r="H266" s="445">
        <f t="shared" si="157"/>
        <v>-7.1999999999999998E-3</v>
      </c>
      <c r="I266" s="445">
        <f t="shared" si="157"/>
        <v>0.17580000000000001</v>
      </c>
      <c r="J266" s="445">
        <f t="shared" si="157"/>
        <v>0.1822</v>
      </c>
      <c r="K266" s="445">
        <f t="shared" si="157"/>
        <v>6.3399999999999998E-2</v>
      </c>
      <c r="L266" s="445">
        <f t="shared" si="157"/>
        <v>-0.11409999999999999</v>
      </c>
      <c r="M266" s="445">
        <f>+IF(K10&lt;&gt;0,ROUND(M10/K10-1,4),0)</f>
        <v>8.3299999999999999E-2</v>
      </c>
      <c r="N266" s="445">
        <f t="shared" ref="N266:BA267" si="158">+IF(M10&lt;&gt;0,ROUND(N10/M10-1,4),0)</f>
        <v>-0.10290000000000001</v>
      </c>
      <c r="O266" s="445">
        <f t="shared" si="158"/>
        <v>0.21299999999999999</v>
      </c>
      <c r="P266" s="445">
        <f t="shared" si="158"/>
        <v>-0.27089999999999997</v>
      </c>
      <c r="Q266" s="445">
        <f t="shared" si="158"/>
        <v>3.4700000000000002E-2</v>
      </c>
      <c r="R266" s="445">
        <f t="shared" si="158"/>
        <v>3.4700000000000002E-2</v>
      </c>
      <c r="S266" s="445">
        <f t="shared" si="158"/>
        <v>3.3700000000000001E-2</v>
      </c>
      <c r="T266" s="445">
        <f t="shared" si="158"/>
        <v>3.27E-2</v>
      </c>
      <c r="U266" s="445">
        <f t="shared" si="158"/>
        <v>3.0700000000000002E-2</v>
      </c>
      <c r="V266" s="445">
        <f t="shared" si="158"/>
        <v>2.8799999999999999E-2</v>
      </c>
      <c r="W266" s="445">
        <f t="shared" si="158"/>
        <v>2.7799999999999998E-2</v>
      </c>
      <c r="X266" s="445">
        <f t="shared" si="158"/>
        <v>1.9300000000000001E-2</v>
      </c>
      <c r="Y266" s="445">
        <f t="shared" si="158"/>
        <v>2.5999999999999999E-2</v>
      </c>
      <c r="Z266" s="445">
        <f t="shared" si="158"/>
        <v>-1</v>
      </c>
      <c r="AA266" s="445">
        <f t="shared" si="158"/>
        <v>0</v>
      </c>
      <c r="AB266" s="445">
        <f t="shared" si="158"/>
        <v>0</v>
      </c>
      <c r="AC266" s="445">
        <f t="shared" si="158"/>
        <v>0</v>
      </c>
      <c r="AD266" s="445">
        <f t="shared" si="158"/>
        <v>0</v>
      </c>
      <c r="AE266" s="445">
        <f t="shared" si="158"/>
        <v>0</v>
      </c>
      <c r="AF266" s="445">
        <f t="shared" si="158"/>
        <v>0</v>
      </c>
      <c r="AG266" s="445">
        <f t="shared" si="158"/>
        <v>0</v>
      </c>
      <c r="AH266" s="445">
        <f t="shared" si="158"/>
        <v>0</v>
      </c>
      <c r="AI266" s="445">
        <f t="shared" si="158"/>
        <v>0</v>
      </c>
      <c r="AJ266" s="445">
        <f t="shared" si="158"/>
        <v>0</v>
      </c>
      <c r="AK266" s="445">
        <f t="shared" si="158"/>
        <v>0</v>
      </c>
      <c r="AL266" s="445">
        <f t="shared" si="158"/>
        <v>0</v>
      </c>
      <c r="AM266" s="445">
        <f t="shared" si="158"/>
        <v>0</v>
      </c>
      <c r="AN266" s="445">
        <f t="shared" si="158"/>
        <v>0</v>
      </c>
      <c r="AO266" s="445">
        <f t="shared" si="158"/>
        <v>0</v>
      </c>
      <c r="AP266" s="445">
        <f t="shared" si="158"/>
        <v>0</v>
      </c>
      <c r="AQ266" s="445">
        <f t="shared" si="158"/>
        <v>0</v>
      </c>
      <c r="AR266" s="445">
        <f t="shared" si="158"/>
        <v>0</v>
      </c>
      <c r="AS266" s="445">
        <f t="shared" si="158"/>
        <v>0</v>
      </c>
      <c r="AT266" s="445">
        <f t="shared" si="158"/>
        <v>0</v>
      </c>
      <c r="AU266" s="445">
        <f t="shared" si="158"/>
        <v>0</v>
      </c>
      <c r="AV266" s="445">
        <f t="shared" si="158"/>
        <v>0</v>
      </c>
      <c r="AW266" s="445">
        <f t="shared" si="158"/>
        <v>0</v>
      </c>
      <c r="AX266" s="445">
        <f t="shared" si="158"/>
        <v>0</v>
      </c>
      <c r="AY266" s="445">
        <f t="shared" si="158"/>
        <v>0</v>
      </c>
      <c r="AZ266" s="445">
        <f t="shared" si="158"/>
        <v>0</v>
      </c>
      <c r="BA266" s="446">
        <f t="shared" si="158"/>
        <v>0</v>
      </c>
    </row>
    <row r="267" spans="1:53" s="246" customFormat="1" outlineLevel="1">
      <c r="A267" s="244"/>
      <c r="B267" s="244"/>
      <c r="C267" s="65" t="s">
        <v>51</v>
      </c>
      <c r="D267" s="86" t="s">
        <v>357</v>
      </c>
      <c r="E267" s="447" t="s">
        <v>313</v>
      </c>
      <c r="F267" s="448" t="s">
        <v>27</v>
      </c>
      <c r="G267" s="449">
        <f t="shared" si="157"/>
        <v>7.46E-2</v>
      </c>
      <c r="H267" s="449">
        <f t="shared" si="157"/>
        <v>4.1799999999999997E-2</v>
      </c>
      <c r="I267" s="449">
        <f t="shared" si="157"/>
        <v>6.3799999999999996E-2</v>
      </c>
      <c r="J267" s="449">
        <f t="shared" si="157"/>
        <v>0.1198</v>
      </c>
      <c r="K267" s="449">
        <f t="shared" si="157"/>
        <v>5.6500000000000002E-2</v>
      </c>
      <c r="L267" s="449">
        <f t="shared" si="157"/>
        <v>3.9100000000000003E-2</v>
      </c>
      <c r="M267" s="449">
        <f>+IF(K11&lt;&gt;0,ROUND(M11/K11-1,4),0)</f>
        <v>0.1774</v>
      </c>
      <c r="N267" s="449">
        <f t="shared" si="158"/>
        <v>-0.1147</v>
      </c>
      <c r="O267" s="449">
        <f t="shared" si="158"/>
        <v>0.03</v>
      </c>
      <c r="P267" s="449">
        <f t="shared" si="158"/>
        <v>3.5000000000000003E-2</v>
      </c>
      <c r="Q267" s="449">
        <f t="shared" si="158"/>
        <v>3.5000000000000003E-2</v>
      </c>
      <c r="R267" s="449">
        <f t="shared" si="158"/>
        <v>3.5000000000000003E-2</v>
      </c>
      <c r="S267" s="449">
        <f t="shared" si="158"/>
        <v>3.4000000000000002E-2</v>
      </c>
      <c r="T267" s="449">
        <f t="shared" si="158"/>
        <v>3.3000000000000002E-2</v>
      </c>
      <c r="U267" s="449">
        <f t="shared" si="158"/>
        <v>3.1E-2</v>
      </c>
      <c r="V267" s="449">
        <f t="shared" si="158"/>
        <v>2.9000000000000001E-2</v>
      </c>
      <c r="W267" s="449">
        <f t="shared" si="158"/>
        <v>2.8000000000000001E-2</v>
      </c>
      <c r="X267" s="449">
        <f t="shared" si="158"/>
        <v>2.7E-2</v>
      </c>
      <c r="Y267" s="449">
        <f t="shared" si="158"/>
        <v>2.5999999999999999E-2</v>
      </c>
      <c r="Z267" s="449">
        <f t="shared" si="158"/>
        <v>-1</v>
      </c>
      <c r="AA267" s="449">
        <f t="shared" si="158"/>
        <v>0</v>
      </c>
      <c r="AB267" s="449">
        <f t="shared" si="158"/>
        <v>0</v>
      </c>
      <c r="AC267" s="449">
        <f t="shared" si="158"/>
        <v>0</v>
      </c>
      <c r="AD267" s="449">
        <f t="shared" si="158"/>
        <v>0</v>
      </c>
      <c r="AE267" s="449">
        <f t="shared" si="158"/>
        <v>0</v>
      </c>
      <c r="AF267" s="449">
        <f t="shared" si="158"/>
        <v>0</v>
      </c>
      <c r="AG267" s="449">
        <f t="shared" si="158"/>
        <v>0</v>
      </c>
      <c r="AH267" s="449">
        <f t="shared" si="158"/>
        <v>0</v>
      </c>
      <c r="AI267" s="449">
        <f t="shared" si="158"/>
        <v>0</v>
      </c>
      <c r="AJ267" s="449">
        <f t="shared" si="158"/>
        <v>0</v>
      </c>
      <c r="AK267" s="449">
        <f t="shared" si="158"/>
        <v>0</v>
      </c>
      <c r="AL267" s="449">
        <f t="shared" si="158"/>
        <v>0</v>
      </c>
      <c r="AM267" s="449">
        <f t="shared" si="158"/>
        <v>0</v>
      </c>
      <c r="AN267" s="449">
        <f t="shared" si="158"/>
        <v>0</v>
      </c>
      <c r="AO267" s="449">
        <f t="shared" si="158"/>
        <v>0</v>
      </c>
      <c r="AP267" s="449">
        <f t="shared" si="158"/>
        <v>0</v>
      </c>
      <c r="AQ267" s="449">
        <f t="shared" si="158"/>
        <v>0</v>
      </c>
      <c r="AR267" s="449">
        <f t="shared" si="158"/>
        <v>0</v>
      </c>
      <c r="AS267" s="449">
        <f t="shared" si="158"/>
        <v>0</v>
      </c>
      <c r="AT267" s="449">
        <f t="shared" si="158"/>
        <v>0</v>
      </c>
      <c r="AU267" s="449">
        <f t="shared" si="158"/>
        <v>0</v>
      </c>
      <c r="AV267" s="449">
        <f t="shared" si="158"/>
        <v>0</v>
      </c>
      <c r="AW267" s="449">
        <f t="shared" si="158"/>
        <v>0</v>
      </c>
      <c r="AX267" s="449">
        <f t="shared" si="158"/>
        <v>0</v>
      </c>
      <c r="AY267" s="449">
        <f t="shared" si="158"/>
        <v>0</v>
      </c>
      <c r="AZ267" s="449">
        <f t="shared" si="158"/>
        <v>0</v>
      </c>
      <c r="BA267" s="450">
        <f t="shared" si="158"/>
        <v>0</v>
      </c>
    </row>
    <row r="268" spans="1:53" s="246" customFormat="1" outlineLevel="1">
      <c r="A268" s="244"/>
      <c r="B268" s="244"/>
      <c r="C268" s="65" t="s">
        <v>35</v>
      </c>
      <c r="D268" s="85"/>
      <c r="E268" s="109" t="s">
        <v>84</v>
      </c>
      <c r="F268" s="448" t="s">
        <v>27</v>
      </c>
      <c r="G268" s="449">
        <f t="shared" ref="G268:L268" si="159">+IF(F15&lt;&gt;0,ROUND(G15/F15-1,4),0)</f>
        <v>8.8200000000000001E-2</v>
      </c>
      <c r="H268" s="449">
        <f t="shared" si="159"/>
        <v>0.13469999999999999</v>
      </c>
      <c r="I268" s="449">
        <f t="shared" si="159"/>
        <v>3.1300000000000001E-2</v>
      </c>
      <c r="J268" s="449">
        <f t="shared" si="159"/>
        <v>9.3899999999999997E-2</v>
      </c>
      <c r="K268" s="449">
        <f t="shared" si="159"/>
        <v>0.18110000000000001</v>
      </c>
      <c r="L268" s="449">
        <f t="shared" si="159"/>
        <v>2.9700000000000001E-2</v>
      </c>
      <c r="M268" s="449">
        <f>+IF(K15&lt;&gt;0,ROUND(M15/K15-1,4),0)</f>
        <v>9.8699999999999996E-2</v>
      </c>
      <c r="N268" s="449">
        <f t="shared" ref="N268:BA268" si="160">+IF(M15&lt;&gt;0,ROUND(N15/M15-1,4),0)</f>
        <v>-2.3999999999999998E-3</v>
      </c>
      <c r="O268" s="449">
        <f t="shared" si="160"/>
        <v>-3.6200000000000003E-2</v>
      </c>
      <c r="P268" s="449">
        <f t="shared" si="160"/>
        <v>3.5000000000000003E-2</v>
      </c>
      <c r="Q268" s="449">
        <f t="shared" si="160"/>
        <v>3.5000000000000003E-2</v>
      </c>
      <c r="R268" s="449">
        <f t="shared" si="160"/>
        <v>3.5000000000000003E-2</v>
      </c>
      <c r="S268" s="449">
        <f t="shared" si="160"/>
        <v>3.4000000000000002E-2</v>
      </c>
      <c r="T268" s="449">
        <f t="shared" si="160"/>
        <v>3.3000000000000002E-2</v>
      </c>
      <c r="U268" s="449">
        <f t="shared" si="160"/>
        <v>3.1E-2</v>
      </c>
      <c r="V268" s="449">
        <f t="shared" si="160"/>
        <v>2.9000000000000001E-2</v>
      </c>
      <c r="W268" s="449">
        <f t="shared" si="160"/>
        <v>2.8000000000000001E-2</v>
      </c>
      <c r="X268" s="449">
        <f t="shared" si="160"/>
        <v>2.7E-2</v>
      </c>
      <c r="Y268" s="449">
        <f t="shared" si="160"/>
        <v>2.5999999999999999E-2</v>
      </c>
      <c r="Z268" s="449">
        <f t="shared" si="160"/>
        <v>-1</v>
      </c>
      <c r="AA268" s="449">
        <f t="shared" si="160"/>
        <v>0</v>
      </c>
      <c r="AB268" s="449">
        <f t="shared" si="160"/>
        <v>0</v>
      </c>
      <c r="AC268" s="449">
        <f t="shared" si="160"/>
        <v>0</v>
      </c>
      <c r="AD268" s="449">
        <f t="shared" si="160"/>
        <v>0</v>
      </c>
      <c r="AE268" s="449">
        <f t="shared" si="160"/>
        <v>0</v>
      </c>
      <c r="AF268" s="449">
        <f t="shared" si="160"/>
        <v>0</v>
      </c>
      <c r="AG268" s="449">
        <f t="shared" si="160"/>
        <v>0</v>
      </c>
      <c r="AH268" s="449">
        <f t="shared" si="160"/>
        <v>0</v>
      </c>
      <c r="AI268" s="449">
        <f t="shared" si="160"/>
        <v>0</v>
      </c>
      <c r="AJ268" s="449">
        <f t="shared" si="160"/>
        <v>0</v>
      </c>
      <c r="AK268" s="449">
        <f t="shared" si="160"/>
        <v>0</v>
      </c>
      <c r="AL268" s="449">
        <f t="shared" si="160"/>
        <v>0</v>
      </c>
      <c r="AM268" s="449">
        <f t="shared" si="160"/>
        <v>0</v>
      </c>
      <c r="AN268" s="449">
        <f t="shared" si="160"/>
        <v>0</v>
      </c>
      <c r="AO268" s="449">
        <f t="shared" si="160"/>
        <v>0</v>
      </c>
      <c r="AP268" s="449">
        <f t="shared" si="160"/>
        <v>0</v>
      </c>
      <c r="AQ268" s="449">
        <f t="shared" si="160"/>
        <v>0</v>
      </c>
      <c r="AR268" s="449">
        <f t="shared" si="160"/>
        <v>0</v>
      </c>
      <c r="AS268" s="449">
        <f t="shared" si="160"/>
        <v>0</v>
      </c>
      <c r="AT268" s="449">
        <f t="shared" si="160"/>
        <v>0</v>
      </c>
      <c r="AU268" s="449">
        <f t="shared" si="160"/>
        <v>0</v>
      </c>
      <c r="AV268" s="449">
        <f t="shared" si="160"/>
        <v>0</v>
      </c>
      <c r="AW268" s="449">
        <f t="shared" si="160"/>
        <v>0</v>
      </c>
      <c r="AX268" s="449">
        <f t="shared" si="160"/>
        <v>0</v>
      </c>
      <c r="AY268" s="449">
        <f t="shared" si="160"/>
        <v>0</v>
      </c>
      <c r="AZ268" s="449">
        <f t="shared" si="160"/>
        <v>0</v>
      </c>
      <c r="BA268" s="450">
        <f t="shared" si="160"/>
        <v>0</v>
      </c>
    </row>
    <row r="269" spans="1:53" s="246" customFormat="1" outlineLevel="1">
      <c r="A269" s="244"/>
      <c r="B269" s="244"/>
      <c r="C269" s="65" t="s">
        <v>52</v>
      </c>
      <c r="D269" s="85" t="s">
        <v>358</v>
      </c>
      <c r="E269" s="447" t="s">
        <v>25</v>
      </c>
      <c r="F269" s="448" t="s">
        <v>27</v>
      </c>
      <c r="G269" s="449">
        <f t="shared" ref="G269:L270" si="161">+IF(F18&lt;&gt;0,ROUND(G18/F18-1,4),0)</f>
        <v>0.65080000000000005</v>
      </c>
      <c r="H269" s="449">
        <f t="shared" si="161"/>
        <v>-0.30249999999999999</v>
      </c>
      <c r="I269" s="449">
        <f t="shared" si="161"/>
        <v>1.1843999999999999</v>
      </c>
      <c r="J269" s="449">
        <f t="shared" si="161"/>
        <v>0.45569999999999999</v>
      </c>
      <c r="K269" s="449">
        <f t="shared" si="161"/>
        <v>8.6699999999999999E-2</v>
      </c>
      <c r="L269" s="449">
        <f t="shared" si="161"/>
        <v>-0.61650000000000005</v>
      </c>
      <c r="M269" s="449">
        <f>+IF(K18&lt;&gt;0,ROUND(M18/K18-1,4),0)</f>
        <v>-0.2253</v>
      </c>
      <c r="N269" s="449">
        <f t="shared" ref="N269:BA270" si="162">+IF(M18&lt;&gt;0,ROUND(N18/M18-1,4),0)</f>
        <v>-4.3900000000000002E-2</v>
      </c>
      <c r="O269" s="449">
        <f t="shared" si="162"/>
        <v>1.0575000000000001</v>
      </c>
      <c r="P269" s="449">
        <f t="shared" si="162"/>
        <v>-0.97750000000000004</v>
      </c>
      <c r="Q269" s="449">
        <f t="shared" si="162"/>
        <v>0</v>
      </c>
      <c r="R269" s="449">
        <f t="shared" si="162"/>
        <v>0</v>
      </c>
      <c r="S269" s="449">
        <f t="shared" si="162"/>
        <v>0</v>
      </c>
      <c r="T269" s="449">
        <f t="shared" si="162"/>
        <v>0</v>
      </c>
      <c r="U269" s="449">
        <f t="shared" si="162"/>
        <v>0</v>
      </c>
      <c r="V269" s="449">
        <f t="shared" si="162"/>
        <v>0</v>
      </c>
      <c r="W269" s="449">
        <f t="shared" si="162"/>
        <v>0</v>
      </c>
      <c r="X269" s="449">
        <f t="shared" si="162"/>
        <v>-1</v>
      </c>
      <c r="Y269" s="449">
        <f t="shared" si="162"/>
        <v>0</v>
      </c>
      <c r="Z269" s="449">
        <f t="shared" si="162"/>
        <v>0</v>
      </c>
      <c r="AA269" s="449">
        <f t="shared" si="162"/>
        <v>0</v>
      </c>
      <c r="AB269" s="449">
        <f t="shared" si="162"/>
        <v>0</v>
      </c>
      <c r="AC269" s="449">
        <f t="shared" si="162"/>
        <v>0</v>
      </c>
      <c r="AD269" s="449">
        <f t="shared" si="162"/>
        <v>0</v>
      </c>
      <c r="AE269" s="449">
        <f t="shared" si="162"/>
        <v>0</v>
      </c>
      <c r="AF269" s="449">
        <f t="shared" si="162"/>
        <v>0</v>
      </c>
      <c r="AG269" s="449">
        <f t="shared" si="162"/>
        <v>0</v>
      </c>
      <c r="AH269" s="449">
        <f t="shared" si="162"/>
        <v>0</v>
      </c>
      <c r="AI269" s="449">
        <f t="shared" si="162"/>
        <v>0</v>
      </c>
      <c r="AJ269" s="449">
        <f t="shared" si="162"/>
        <v>0</v>
      </c>
      <c r="AK269" s="449">
        <f t="shared" si="162"/>
        <v>0</v>
      </c>
      <c r="AL269" s="449">
        <f t="shared" si="162"/>
        <v>0</v>
      </c>
      <c r="AM269" s="449">
        <f t="shared" si="162"/>
        <v>0</v>
      </c>
      <c r="AN269" s="449">
        <f t="shared" si="162"/>
        <v>0</v>
      </c>
      <c r="AO269" s="449">
        <f t="shared" si="162"/>
        <v>0</v>
      </c>
      <c r="AP269" s="449">
        <f t="shared" si="162"/>
        <v>0</v>
      </c>
      <c r="AQ269" s="449">
        <f t="shared" si="162"/>
        <v>0</v>
      </c>
      <c r="AR269" s="449">
        <f t="shared" si="162"/>
        <v>0</v>
      </c>
      <c r="AS269" s="449">
        <f t="shared" si="162"/>
        <v>0</v>
      </c>
      <c r="AT269" s="449">
        <f t="shared" si="162"/>
        <v>0</v>
      </c>
      <c r="AU269" s="449">
        <f t="shared" si="162"/>
        <v>0</v>
      </c>
      <c r="AV269" s="449">
        <f t="shared" si="162"/>
        <v>0</v>
      </c>
      <c r="AW269" s="449">
        <f t="shared" si="162"/>
        <v>0</v>
      </c>
      <c r="AX269" s="449">
        <f t="shared" si="162"/>
        <v>0</v>
      </c>
      <c r="AY269" s="449">
        <f t="shared" si="162"/>
        <v>0</v>
      </c>
      <c r="AZ269" s="449">
        <f t="shared" si="162"/>
        <v>0</v>
      </c>
      <c r="BA269" s="450">
        <f t="shared" si="162"/>
        <v>0</v>
      </c>
    </row>
    <row r="270" spans="1:53" s="246" customFormat="1" outlineLevel="1">
      <c r="A270" s="244"/>
      <c r="B270" s="244"/>
      <c r="C270" s="65" t="s">
        <v>37</v>
      </c>
      <c r="D270" s="85" t="s">
        <v>28</v>
      </c>
      <c r="E270" s="110" t="s">
        <v>26</v>
      </c>
      <c r="F270" s="448" t="s">
        <v>27</v>
      </c>
      <c r="G270" s="449">
        <f t="shared" si="161"/>
        <v>0.21390000000000001</v>
      </c>
      <c r="H270" s="449">
        <f t="shared" si="161"/>
        <v>-0.30359999999999998</v>
      </c>
      <c r="I270" s="449">
        <f t="shared" si="161"/>
        <v>22.535299999999999</v>
      </c>
      <c r="J270" s="449">
        <f t="shared" si="161"/>
        <v>-0.97160000000000002</v>
      </c>
      <c r="K270" s="449">
        <f t="shared" si="161"/>
        <v>0.10829999999999999</v>
      </c>
      <c r="L270" s="449">
        <f t="shared" si="161"/>
        <v>-0.28749999999999998</v>
      </c>
      <c r="M270" s="449">
        <f>+IF(K19&lt;&gt;0,ROUND(M19/K19-1,4),0)</f>
        <v>84.433300000000003</v>
      </c>
      <c r="N270" s="449">
        <f t="shared" si="162"/>
        <v>-0.99170000000000003</v>
      </c>
      <c r="O270" s="449">
        <f t="shared" si="162"/>
        <v>-1</v>
      </c>
      <c r="P270" s="449">
        <f t="shared" si="162"/>
        <v>0</v>
      </c>
      <c r="Q270" s="449">
        <f t="shared" si="162"/>
        <v>0</v>
      </c>
      <c r="R270" s="449">
        <f t="shared" si="162"/>
        <v>0</v>
      </c>
      <c r="S270" s="449">
        <f t="shared" si="162"/>
        <v>0</v>
      </c>
      <c r="T270" s="449">
        <f t="shared" si="162"/>
        <v>0</v>
      </c>
      <c r="U270" s="449">
        <f t="shared" si="162"/>
        <v>0</v>
      </c>
      <c r="V270" s="449">
        <f t="shared" si="162"/>
        <v>0</v>
      </c>
      <c r="W270" s="449">
        <f t="shared" si="162"/>
        <v>0</v>
      </c>
      <c r="X270" s="449">
        <f t="shared" si="162"/>
        <v>0</v>
      </c>
      <c r="Y270" s="449">
        <f t="shared" si="162"/>
        <v>0</v>
      </c>
      <c r="Z270" s="449">
        <f t="shared" si="162"/>
        <v>0</v>
      </c>
      <c r="AA270" s="449">
        <f t="shared" si="162"/>
        <v>0</v>
      </c>
      <c r="AB270" s="449">
        <f t="shared" si="162"/>
        <v>0</v>
      </c>
      <c r="AC270" s="449">
        <f t="shared" si="162"/>
        <v>0</v>
      </c>
      <c r="AD270" s="449">
        <f t="shared" si="162"/>
        <v>0</v>
      </c>
      <c r="AE270" s="449">
        <f t="shared" si="162"/>
        <v>0</v>
      </c>
      <c r="AF270" s="449">
        <f t="shared" si="162"/>
        <v>0</v>
      </c>
      <c r="AG270" s="449">
        <f t="shared" si="162"/>
        <v>0</v>
      </c>
      <c r="AH270" s="449">
        <f t="shared" si="162"/>
        <v>0</v>
      </c>
      <c r="AI270" s="449">
        <f t="shared" si="162"/>
        <v>0</v>
      </c>
      <c r="AJ270" s="449">
        <f t="shared" si="162"/>
        <v>0</v>
      </c>
      <c r="AK270" s="449">
        <f t="shared" si="162"/>
        <v>0</v>
      </c>
      <c r="AL270" s="449">
        <f t="shared" si="162"/>
        <v>0</v>
      </c>
      <c r="AM270" s="449">
        <f t="shared" si="162"/>
        <v>0</v>
      </c>
      <c r="AN270" s="449">
        <f t="shared" si="162"/>
        <v>0</v>
      </c>
      <c r="AO270" s="449">
        <f t="shared" si="162"/>
        <v>0</v>
      </c>
      <c r="AP270" s="449">
        <f t="shared" si="162"/>
        <v>0</v>
      </c>
      <c r="AQ270" s="449">
        <f t="shared" si="162"/>
        <v>0</v>
      </c>
      <c r="AR270" s="449">
        <f t="shared" si="162"/>
        <v>0</v>
      </c>
      <c r="AS270" s="449">
        <f t="shared" si="162"/>
        <v>0</v>
      </c>
      <c r="AT270" s="449">
        <f t="shared" si="162"/>
        <v>0</v>
      </c>
      <c r="AU270" s="449">
        <f t="shared" si="162"/>
        <v>0</v>
      </c>
      <c r="AV270" s="449">
        <f t="shared" si="162"/>
        <v>0</v>
      </c>
      <c r="AW270" s="449">
        <f t="shared" si="162"/>
        <v>0</v>
      </c>
      <c r="AX270" s="449">
        <f t="shared" si="162"/>
        <v>0</v>
      </c>
      <c r="AY270" s="449">
        <f t="shared" si="162"/>
        <v>0</v>
      </c>
      <c r="AZ270" s="449">
        <f t="shared" si="162"/>
        <v>0</v>
      </c>
      <c r="BA270" s="450">
        <f t="shared" si="162"/>
        <v>0</v>
      </c>
    </row>
    <row r="271" spans="1:53" s="246" customFormat="1" outlineLevel="1">
      <c r="A271" s="244"/>
      <c r="B271" s="244"/>
      <c r="C271" s="22">
        <v>2</v>
      </c>
      <c r="D271" s="85"/>
      <c r="E271" s="111" t="s">
        <v>19</v>
      </c>
      <c r="F271" s="448" t="s">
        <v>27</v>
      </c>
      <c r="G271" s="449">
        <f t="shared" ref="G271:J274" si="163">+IF(F21&lt;&gt;0,ROUND(G21/F21-1,4),0)</f>
        <v>5.7099999999999998E-2</v>
      </c>
      <c r="H271" s="449">
        <f t="shared" si="163"/>
        <v>1.29E-2</v>
      </c>
      <c r="I271" s="449">
        <f t="shared" si="163"/>
        <v>0.18990000000000001</v>
      </c>
      <c r="J271" s="449">
        <f t="shared" si="163"/>
        <v>9.4500000000000001E-2</v>
      </c>
      <c r="K271" s="449">
        <f t="shared" ref="K271:L274" si="164">+IF(J21&lt;&gt;0,ROUND(K21/J21-1,4),0)</f>
        <v>9.5799999999999996E-2</v>
      </c>
      <c r="L271" s="449">
        <f t="shared" si="164"/>
        <v>0.1222</v>
      </c>
      <c r="M271" s="449">
        <f>+IF(K21&lt;&gt;0,ROUND(M21/K21-1,4),0)</f>
        <v>7.51E-2</v>
      </c>
      <c r="N271" s="449">
        <f t="shared" ref="N271:BA274" si="165">+IF(M21&lt;&gt;0,ROUND(N21/M21-1,4),0)</f>
        <v>0.19489999999999999</v>
      </c>
      <c r="O271" s="449">
        <f t="shared" si="165"/>
        <v>-3.6200000000000003E-2</v>
      </c>
      <c r="P271" s="449">
        <f t="shared" si="165"/>
        <v>-0.28720000000000001</v>
      </c>
      <c r="Q271" s="449">
        <f t="shared" si="165"/>
        <v>3.4299999999999997E-2</v>
      </c>
      <c r="R271" s="449">
        <f t="shared" si="165"/>
        <v>3.5999999999999997E-2</v>
      </c>
      <c r="S271" s="449">
        <f t="shared" si="165"/>
        <v>3.49E-2</v>
      </c>
      <c r="T271" s="449">
        <f t="shared" si="165"/>
        <v>4.2599999999999999E-2</v>
      </c>
      <c r="U271" s="449">
        <f t="shared" si="165"/>
        <v>3.15E-2</v>
      </c>
      <c r="V271" s="449">
        <f t="shared" si="165"/>
        <v>2.9499999999999998E-2</v>
      </c>
      <c r="W271" s="449">
        <f t="shared" si="165"/>
        <v>2.8400000000000002E-2</v>
      </c>
      <c r="X271" s="449">
        <f t="shared" si="165"/>
        <v>1.5900000000000001E-2</v>
      </c>
      <c r="Y271" s="449">
        <f t="shared" si="165"/>
        <v>2.6700000000000002E-2</v>
      </c>
      <c r="Z271" s="449">
        <f t="shared" si="165"/>
        <v>-1</v>
      </c>
      <c r="AA271" s="449">
        <f t="shared" si="165"/>
        <v>0</v>
      </c>
      <c r="AB271" s="449">
        <f t="shared" si="165"/>
        <v>0</v>
      </c>
      <c r="AC271" s="449">
        <f t="shared" si="165"/>
        <v>0</v>
      </c>
      <c r="AD271" s="449">
        <f t="shared" si="165"/>
        <v>0</v>
      </c>
      <c r="AE271" s="449">
        <f t="shared" si="165"/>
        <v>0</v>
      </c>
      <c r="AF271" s="449">
        <f t="shared" si="165"/>
        <v>0</v>
      </c>
      <c r="AG271" s="449">
        <f t="shared" si="165"/>
        <v>0</v>
      </c>
      <c r="AH271" s="449">
        <f t="shared" si="165"/>
        <v>0</v>
      </c>
      <c r="AI271" s="449">
        <f t="shared" si="165"/>
        <v>0</v>
      </c>
      <c r="AJ271" s="449">
        <f t="shared" si="165"/>
        <v>0</v>
      </c>
      <c r="AK271" s="449">
        <f t="shared" si="165"/>
        <v>0</v>
      </c>
      <c r="AL271" s="449">
        <f t="shared" si="165"/>
        <v>0</v>
      </c>
      <c r="AM271" s="449">
        <f t="shared" si="165"/>
        <v>0</v>
      </c>
      <c r="AN271" s="449">
        <f t="shared" si="165"/>
        <v>0</v>
      </c>
      <c r="AO271" s="449">
        <f t="shared" si="165"/>
        <v>0</v>
      </c>
      <c r="AP271" s="449">
        <f t="shared" si="165"/>
        <v>0</v>
      </c>
      <c r="AQ271" s="449">
        <f t="shared" si="165"/>
        <v>0</v>
      </c>
      <c r="AR271" s="449">
        <f t="shared" si="165"/>
        <v>0</v>
      </c>
      <c r="AS271" s="449">
        <f t="shared" si="165"/>
        <v>0</v>
      </c>
      <c r="AT271" s="449">
        <f t="shared" si="165"/>
        <v>0</v>
      </c>
      <c r="AU271" s="449">
        <f t="shared" si="165"/>
        <v>0</v>
      </c>
      <c r="AV271" s="449">
        <f t="shared" si="165"/>
        <v>0</v>
      </c>
      <c r="AW271" s="449">
        <f t="shared" si="165"/>
        <v>0</v>
      </c>
      <c r="AX271" s="449">
        <f t="shared" si="165"/>
        <v>0</v>
      </c>
      <c r="AY271" s="449">
        <f t="shared" si="165"/>
        <v>0</v>
      </c>
      <c r="AZ271" s="449">
        <f t="shared" si="165"/>
        <v>0</v>
      </c>
      <c r="BA271" s="450">
        <f t="shared" si="165"/>
        <v>0</v>
      </c>
    </row>
    <row r="272" spans="1:53" s="246" customFormat="1" outlineLevel="1">
      <c r="A272" s="244"/>
      <c r="B272" s="244"/>
      <c r="C272" s="65" t="s">
        <v>53</v>
      </c>
      <c r="D272" s="86" t="s">
        <v>359</v>
      </c>
      <c r="E272" s="447" t="s">
        <v>86</v>
      </c>
      <c r="F272" s="448" t="s">
        <v>27</v>
      </c>
      <c r="G272" s="449">
        <f t="shared" si="163"/>
        <v>1.6899999999999998E-2</v>
      </c>
      <c r="H272" s="449">
        <f t="shared" si="163"/>
        <v>7.1900000000000006E-2</v>
      </c>
      <c r="I272" s="449">
        <f t="shared" si="163"/>
        <v>5.0700000000000002E-2</v>
      </c>
      <c r="J272" s="449">
        <f t="shared" si="163"/>
        <v>8.8999999999999996E-2</v>
      </c>
      <c r="K272" s="449">
        <f t="shared" si="164"/>
        <v>9.7500000000000003E-2</v>
      </c>
      <c r="L272" s="449">
        <f t="shared" si="164"/>
        <v>0.1002</v>
      </c>
      <c r="M272" s="449">
        <f>+IF(K22&lt;&gt;0,ROUND(M22/K22-1,4),0)</f>
        <v>0.1</v>
      </c>
      <c r="N272" s="449">
        <f t="shared" si="165"/>
        <v>2.58E-2</v>
      </c>
      <c r="O272" s="449">
        <f t="shared" si="165"/>
        <v>1.3299999999999999E-2</v>
      </c>
      <c r="P272" s="449">
        <f t="shared" si="165"/>
        <v>2.5399999999999999E-2</v>
      </c>
      <c r="Q272" s="449">
        <f t="shared" si="165"/>
        <v>2.35E-2</v>
      </c>
      <c r="R272" s="449">
        <f t="shared" si="165"/>
        <v>2.3599999999999999E-2</v>
      </c>
      <c r="S272" s="449">
        <f t="shared" si="165"/>
        <v>2.3599999999999999E-2</v>
      </c>
      <c r="T272" s="449">
        <f t="shared" si="165"/>
        <v>2.3800000000000002E-2</v>
      </c>
      <c r="U272" s="449">
        <f t="shared" si="165"/>
        <v>2.41E-2</v>
      </c>
      <c r="V272" s="449">
        <f t="shared" si="165"/>
        <v>2.4199999999999999E-2</v>
      </c>
      <c r="W272" s="449">
        <f t="shared" si="165"/>
        <v>2.4299999999999999E-2</v>
      </c>
      <c r="X272" s="449">
        <f t="shared" si="165"/>
        <v>2.41E-2</v>
      </c>
      <c r="Y272" s="449">
        <f t="shared" si="165"/>
        <v>2.4E-2</v>
      </c>
      <c r="Z272" s="449">
        <f t="shared" si="165"/>
        <v>-1</v>
      </c>
      <c r="AA272" s="449">
        <f t="shared" si="165"/>
        <v>0</v>
      </c>
      <c r="AB272" s="449">
        <f t="shared" si="165"/>
        <v>0</v>
      </c>
      <c r="AC272" s="449">
        <f t="shared" si="165"/>
        <v>0</v>
      </c>
      <c r="AD272" s="449">
        <f t="shared" si="165"/>
        <v>0</v>
      </c>
      <c r="AE272" s="449">
        <f t="shared" si="165"/>
        <v>0</v>
      </c>
      <c r="AF272" s="449">
        <f t="shared" si="165"/>
        <v>0</v>
      </c>
      <c r="AG272" s="449">
        <f t="shared" si="165"/>
        <v>0</v>
      </c>
      <c r="AH272" s="449">
        <f t="shared" si="165"/>
        <v>0</v>
      </c>
      <c r="AI272" s="449">
        <f t="shared" si="165"/>
        <v>0</v>
      </c>
      <c r="AJ272" s="449">
        <f t="shared" si="165"/>
        <v>0</v>
      </c>
      <c r="AK272" s="449">
        <f t="shared" si="165"/>
        <v>0</v>
      </c>
      <c r="AL272" s="449">
        <f t="shared" si="165"/>
        <v>0</v>
      </c>
      <c r="AM272" s="449">
        <f t="shared" si="165"/>
        <v>0</v>
      </c>
      <c r="AN272" s="449">
        <f t="shared" si="165"/>
        <v>0</v>
      </c>
      <c r="AO272" s="449">
        <f t="shared" si="165"/>
        <v>0</v>
      </c>
      <c r="AP272" s="449">
        <f t="shared" si="165"/>
        <v>0</v>
      </c>
      <c r="AQ272" s="449">
        <f t="shared" si="165"/>
        <v>0</v>
      </c>
      <c r="AR272" s="449">
        <f t="shared" si="165"/>
        <v>0</v>
      </c>
      <c r="AS272" s="449">
        <f t="shared" si="165"/>
        <v>0</v>
      </c>
      <c r="AT272" s="449">
        <f t="shared" si="165"/>
        <v>0</v>
      </c>
      <c r="AU272" s="449">
        <f t="shared" si="165"/>
        <v>0</v>
      </c>
      <c r="AV272" s="449">
        <f t="shared" si="165"/>
        <v>0</v>
      </c>
      <c r="AW272" s="449">
        <f t="shared" si="165"/>
        <v>0</v>
      </c>
      <c r="AX272" s="449">
        <f t="shared" si="165"/>
        <v>0</v>
      </c>
      <c r="AY272" s="449">
        <f t="shared" si="165"/>
        <v>0</v>
      </c>
      <c r="AZ272" s="449">
        <f t="shared" si="165"/>
        <v>0</v>
      </c>
      <c r="BA272" s="450">
        <f t="shared" si="165"/>
        <v>0</v>
      </c>
    </row>
    <row r="273" spans="1:53" s="246" customFormat="1" outlineLevel="1">
      <c r="A273" s="244"/>
      <c r="B273" s="244"/>
      <c r="C273" s="65" t="s">
        <v>39</v>
      </c>
      <c r="D273" s="85" t="s">
        <v>363</v>
      </c>
      <c r="E273" s="109" t="s">
        <v>315</v>
      </c>
      <c r="F273" s="448" t="s">
        <v>27</v>
      </c>
      <c r="G273" s="449">
        <f t="shared" si="163"/>
        <v>6.4999999999999997E-3</v>
      </c>
      <c r="H273" s="449">
        <f t="shared" si="163"/>
        <v>5.2400000000000002E-2</v>
      </c>
      <c r="I273" s="449">
        <f t="shared" si="163"/>
        <v>5.2999999999999999E-2</v>
      </c>
      <c r="J273" s="449">
        <f t="shared" si="163"/>
        <v>9.3700000000000006E-2</v>
      </c>
      <c r="K273" s="449">
        <f t="shared" si="164"/>
        <v>9.9400000000000002E-2</v>
      </c>
      <c r="L273" s="449">
        <f t="shared" si="164"/>
        <v>8.8099999999999998E-2</v>
      </c>
      <c r="M273" s="449">
        <f>+IF(K23&lt;&gt;0,ROUND(M23/K23-1,4),0)</f>
        <v>0.1133</v>
      </c>
      <c r="N273" s="449">
        <f t="shared" si="165"/>
        <v>1.2800000000000001E-2</v>
      </c>
      <c r="O273" s="449">
        <f t="shared" si="165"/>
        <v>2.8299999999999999E-2</v>
      </c>
      <c r="P273" s="449">
        <f t="shared" si="165"/>
        <v>2.7E-2</v>
      </c>
      <c r="Q273" s="449">
        <f t="shared" si="165"/>
        <v>2.5000000000000001E-2</v>
      </c>
      <c r="R273" s="449">
        <f t="shared" si="165"/>
        <v>2.5000000000000001E-2</v>
      </c>
      <c r="S273" s="449">
        <f t="shared" si="165"/>
        <v>2.5000000000000001E-2</v>
      </c>
      <c r="T273" s="449">
        <f t="shared" si="165"/>
        <v>2.5000000000000001E-2</v>
      </c>
      <c r="U273" s="449">
        <f t="shared" si="165"/>
        <v>2.5000000000000001E-2</v>
      </c>
      <c r="V273" s="449">
        <f t="shared" si="165"/>
        <v>2.5000000000000001E-2</v>
      </c>
      <c r="W273" s="449">
        <f t="shared" si="165"/>
        <v>2.5000000000000001E-2</v>
      </c>
      <c r="X273" s="449">
        <f t="shared" si="165"/>
        <v>2.5000000000000001E-2</v>
      </c>
      <c r="Y273" s="449">
        <f t="shared" si="165"/>
        <v>2.5000000000000001E-2</v>
      </c>
      <c r="Z273" s="449">
        <f t="shared" si="165"/>
        <v>-1</v>
      </c>
      <c r="AA273" s="449">
        <f t="shared" si="165"/>
        <v>0</v>
      </c>
      <c r="AB273" s="449">
        <f t="shared" si="165"/>
        <v>0</v>
      </c>
      <c r="AC273" s="449">
        <f t="shared" si="165"/>
        <v>0</v>
      </c>
      <c r="AD273" s="449">
        <f t="shared" si="165"/>
        <v>0</v>
      </c>
      <c r="AE273" s="449">
        <f t="shared" si="165"/>
        <v>0</v>
      </c>
      <c r="AF273" s="449">
        <f t="shared" si="165"/>
        <v>0</v>
      </c>
      <c r="AG273" s="449">
        <f t="shared" si="165"/>
        <v>0</v>
      </c>
      <c r="AH273" s="449">
        <f t="shared" si="165"/>
        <v>0</v>
      </c>
      <c r="AI273" s="449">
        <f t="shared" si="165"/>
        <v>0</v>
      </c>
      <c r="AJ273" s="449">
        <f t="shared" si="165"/>
        <v>0</v>
      </c>
      <c r="AK273" s="449">
        <f t="shared" si="165"/>
        <v>0</v>
      </c>
      <c r="AL273" s="449">
        <f t="shared" si="165"/>
        <v>0</v>
      </c>
      <c r="AM273" s="449">
        <f t="shared" si="165"/>
        <v>0</v>
      </c>
      <c r="AN273" s="449">
        <f t="shared" si="165"/>
        <v>0</v>
      </c>
      <c r="AO273" s="449">
        <f t="shared" si="165"/>
        <v>0</v>
      </c>
      <c r="AP273" s="449">
        <f t="shared" si="165"/>
        <v>0</v>
      </c>
      <c r="AQ273" s="449">
        <f t="shared" si="165"/>
        <v>0</v>
      </c>
      <c r="AR273" s="449">
        <f t="shared" si="165"/>
        <v>0</v>
      </c>
      <c r="AS273" s="449">
        <f t="shared" si="165"/>
        <v>0</v>
      </c>
      <c r="AT273" s="449">
        <f t="shared" si="165"/>
        <v>0</v>
      </c>
      <c r="AU273" s="449">
        <f t="shared" si="165"/>
        <v>0</v>
      </c>
      <c r="AV273" s="449">
        <f t="shared" si="165"/>
        <v>0</v>
      </c>
      <c r="AW273" s="449">
        <f t="shared" si="165"/>
        <v>0</v>
      </c>
      <c r="AX273" s="449">
        <f t="shared" si="165"/>
        <v>0</v>
      </c>
      <c r="AY273" s="449">
        <f t="shared" si="165"/>
        <v>0</v>
      </c>
      <c r="AZ273" s="449">
        <f t="shared" si="165"/>
        <v>0</v>
      </c>
      <c r="BA273" s="450">
        <f t="shared" si="165"/>
        <v>0</v>
      </c>
    </row>
    <row r="274" spans="1:53" s="246" customFormat="1" outlineLevel="1">
      <c r="A274" s="244"/>
      <c r="B274" s="244"/>
      <c r="C274" s="65" t="s">
        <v>40</v>
      </c>
      <c r="D274" s="85"/>
      <c r="E274" s="109" t="s">
        <v>87</v>
      </c>
      <c r="F274" s="448" t="s">
        <v>27</v>
      </c>
      <c r="G274" s="449">
        <f t="shared" si="163"/>
        <v>0</v>
      </c>
      <c r="H274" s="449">
        <f t="shared" si="163"/>
        <v>0</v>
      </c>
      <c r="I274" s="449">
        <f t="shared" si="163"/>
        <v>0</v>
      </c>
      <c r="J274" s="449">
        <f t="shared" si="163"/>
        <v>0</v>
      </c>
      <c r="K274" s="449">
        <f t="shared" si="164"/>
        <v>0</v>
      </c>
      <c r="L274" s="449">
        <f t="shared" si="164"/>
        <v>0</v>
      </c>
      <c r="M274" s="449">
        <f>+IF(K24&lt;&gt;0,ROUND(M24/K24-1,4),0)</f>
        <v>0</v>
      </c>
      <c r="N274" s="449">
        <f t="shared" si="165"/>
        <v>0</v>
      </c>
      <c r="O274" s="449">
        <f t="shared" si="165"/>
        <v>0</v>
      </c>
      <c r="P274" s="449">
        <f t="shared" si="165"/>
        <v>0</v>
      </c>
      <c r="Q274" s="449">
        <f t="shared" si="165"/>
        <v>0</v>
      </c>
      <c r="R274" s="449">
        <f t="shared" si="165"/>
        <v>0</v>
      </c>
      <c r="S274" s="449">
        <f t="shared" si="165"/>
        <v>0</v>
      </c>
      <c r="T274" s="449">
        <f t="shared" si="165"/>
        <v>0</v>
      </c>
      <c r="U274" s="449">
        <f t="shared" si="165"/>
        <v>0</v>
      </c>
      <c r="V274" s="449">
        <f t="shared" si="165"/>
        <v>0</v>
      </c>
      <c r="W274" s="449">
        <f t="shared" si="165"/>
        <v>0</v>
      </c>
      <c r="X274" s="449">
        <f t="shared" si="165"/>
        <v>0</v>
      </c>
      <c r="Y274" s="449">
        <f t="shared" si="165"/>
        <v>0</v>
      </c>
      <c r="Z274" s="449">
        <f t="shared" si="165"/>
        <v>0</v>
      </c>
      <c r="AA274" s="449">
        <f t="shared" si="165"/>
        <v>0</v>
      </c>
      <c r="AB274" s="449">
        <f t="shared" si="165"/>
        <v>0</v>
      </c>
      <c r="AC274" s="449">
        <f t="shared" si="165"/>
        <v>0</v>
      </c>
      <c r="AD274" s="449">
        <f t="shared" si="165"/>
        <v>0</v>
      </c>
      <c r="AE274" s="449">
        <f t="shared" si="165"/>
        <v>0</v>
      </c>
      <c r="AF274" s="449">
        <f t="shared" si="165"/>
        <v>0</v>
      </c>
      <c r="AG274" s="449">
        <f t="shared" si="165"/>
        <v>0</v>
      </c>
      <c r="AH274" s="449">
        <f t="shared" si="165"/>
        <v>0</v>
      </c>
      <c r="AI274" s="449">
        <f t="shared" si="165"/>
        <v>0</v>
      </c>
      <c r="AJ274" s="449">
        <f t="shared" si="165"/>
        <v>0</v>
      </c>
      <c r="AK274" s="449">
        <f t="shared" si="165"/>
        <v>0</v>
      </c>
      <c r="AL274" s="449">
        <f t="shared" si="165"/>
        <v>0</v>
      </c>
      <c r="AM274" s="449">
        <f t="shared" si="165"/>
        <v>0</v>
      </c>
      <c r="AN274" s="449">
        <f t="shared" si="165"/>
        <v>0</v>
      </c>
      <c r="AO274" s="449">
        <f t="shared" si="165"/>
        <v>0</v>
      </c>
      <c r="AP274" s="449">
        <f t="shared" si="165"/>
        <v>0</v>
      </c>
      <c r="AQ274" s="449">
        <f t="shared" si="165"/>
        <v>0</v>
      </c>
      <c r="AR274" s="449">
        <f t="shared" si="165"/>
        <v>0</v>
      </c>
      <c r="AS274" s="449">
        <f t="shared" si="165"/>
        <v>0</v>
      </c>
      <c r="AT274" s="449">
        <f t="shared" si="165"/>
        <v>0</v>
      </c>
      <c r="AU274" s="449">
        <f t="shared" si="165"/>
        <v>0</v>
      </c>
      <c r="AV274" s="449">
        <f t="shared" si="165"/>
        <v>0</v>
      </c>
      <c r="AW274" s="449">
        <f t="shared" si="165"/>
        <v>0</v>
      </c>
      <c r="AX274" s="449">
        <f t="shared" si="165"/>
        <v>0</v>
      </c>
      <c r="AY274" s="449">
        <f t="shared" si="165"/>
        <v>0</v>
      </c>
      <c r="AZ274" s="449">
        <f t="shared" si="165"/>
        <v>0</v>
      </c>
      <c r="BA274" s="450">
        <f t="shared" si="165"/>
        <v>0</v>
      </c>
    </row>
    <row r="275" spans="1:53" s="246" customFormat="1" outlineLevel="1">
      <c r="A275" s="244"/>
      <c r="B275" s="244"/>
      <c r="C275" s="65" t="s">
        <v>41</v>
      </c>
      <c r="D275" s="85" t="s">
        <v>360</v>
      </c>
      <c r="E275" s="109" t="s">
        <v>88</v>
      </c>
      <c r="F275" s="448" t="s">
        <v>27</v>
      </c>
      <c r="G275" s="449">
        <f t="shared" ref="G275:L275" si="166">+IF(F26&lt;&gt;0,ROUND(G26/F26-1,4),0)</f>
        <v>-4.0800000000000003E-2</v>
      </c>
      <c r="H275" s="449">
        <f t="shared" si="166"/>
        <v>-6.0600000000000001E-2</v>
      </c>
      <c r="I275" s="449">
        <f t="shared" si="166"/>
        <v>3.5999999999999999E-3</v>
      </c>
      <c r="J275" s="449">
        <f t="shared" si="166"/>
        <v>-0.1019</v>
      </c>
      <c r="K275" s="449">
        <f t="shared" si="166"/>
        <v>-4.8300000000000003E-2</v>
      </c>
      <c r="L275" s="449">
        <f t="shared" si="166"/>
        <v>-0.21870000000000001</v>
      </c>
      <c r="M275" s="449">
        <f>+IF(K26&lt;&gt;0,ROUND(M26/K26-1,4),0)</f>
        <v>-0.31209999999999999</v>
      </c>
      <c r="N275" s="449">
        <f t="shared" ref="N275:BA275" si="167">+IF(M26&lt;&gt;0,ROUND(N26/M26-1,4),0)</f>
        <v>0.24229999999999999</v>
      </c>
      <c r="O275" s="449">
        <f t="shared" si="167"/>
        <v>0.61799999999999999</v>
      </c>
      <c r="P275" s="449">
        <f t="shared" si="167"/>
        <v>-0.1103</v>
      </c>
      <c r="Q275" s="449">
        <f t="shared" si="167"/>
        <v>-0.1239</v>
      </c>
      <c r="R275" s="449">
        <f t="shared" si="167"/>
        <v>-0.14449999999999999</v>
      </c>
      <c r="S275" s="449">
        <f t="shared" si="167"/>
        <v>-0.16900000000000001</v>
      </c>
      <c r="T275" s="449">
        <f t="shared" si="167"/>
        <v>-0.1779</v>
      </c>
      <c r="U275" s="449">
        <f t="shared" si="167"/>
        <v>-0.17</v>
      </c>
      <c r="V275" s="449">
        <f t="shared" si="167"/>
        <v>-0.17680000000000001</v>
      </c>
      <c r="W275" s="449">
        <f t="shared" si="167"/>
        <v>-0.2034</v>
      </c>
      <c r="X275" s="449">
        <f t="shared" si="167"/>
        <v>-0.34570000000000001</v>
      </c>
      <c r="Y275" s="449">
        <f t="shared" si="167"/>
        <v>-0.66669999999999996</v>
      </c>
      <c r="Z275" s="449">
        <f t="shared" si="167"/>
        <v>-1</v>
      </c>
      <c r="AA275" s="449">
        <f t="shared" si="167"/>
        <v>0</v>
      </c>
      <c r="AB275" s="449">
        <f t="shared" si="167"/>
        <v>0</v>
      </c>
      <c r="AC275" s="449">
        <f t="shared" si="167"/>
        <v>0</v>
      </c>
      <c r="AD275" s="449">
        <f t="shared" si="167"/>
        <v>0</v>
      </c>
      <c r="AE275" s="449">
        <f t="shared" si="167"/>
        <v>0</v>
      </c>
      <c r="AF275" s="449">
        <f t="shared" si="167"/>
        <v>0</v>
      </c>
      <c r="AG275" s="449">
        <f t="shared" si="167"/>
        <v>0</v>
      </c>
      <c r="AH275" s="449">
        <f t="shared" si="167"/>
        <v>0</v>
      </c>
      <c r="AI275" s="449">
        <f t="shared" si="167"/>
        <v>0</v>
      </c>
      <c r="AJ275" s="449">
        <f t="shared" si="167"/>
        <v>0</v>
      </c>
      <c r="AK275" s="449">
        <f t="shared" si="167"/>
        <v>0</v>
      </c>
      <c r="AL275" s="449">
        <f t="shared" si="167"/>
        <v>0</v>
      </c>
      <c r="AM275" s="449">
        <f t="shared" si="167"/>
        <v>0</v>
      </c>
      <c r="AN275" s="449">
        <f t="shared" si="167"/>
        <v>0</v>
      </c>
      <c r="AO275" s="449">
        <f t="shared" si="167"/>
        <v>0</v>
      </c>
      <c r="AP275" s="449">
        <f t="shared" si="167"/>
        <v>0</v>
      </c>
      <c r="AQ275" s="449">
        <f t="shared" si="167"/>
        <v>0</v>
      </c>
      <c r="AR275" s="449">
        <f t="shared" si="167"/>
        <v>0</v>
      </c>
      <c r="AS275" s="449">
        <f t="shared" si="167"/>
        <v>0</v>
      </c>
      <c r="AT275" s="449">
        <f t="shared" si="167"/>
        <v>0</v>
      </c>
      <c r="AU275" s="449">
        <f t="shared" si="167"/>
        <v>0</v>
      </c>
      <c r="AV275" s="449">
        <f t="shared" si="167"/>
        <v>0</v>
      </c>
      <c r="AW275" s="449">
        <f t="shared" si="167"/>
        <v>0</v>
      </c>
      <c r="AX275" s="449">
        <f t="shared" si="167"/>
        <v>0</v>
      </c>
      <c r="AY275" s="449">
        <f t="shared" si="167"/>
        <v>0</v>
      </c>
      <c r="AZ275" s="449">
        <f t="shared" si="167"/>
        <v>0</v>
      </c>
      <c r="BA275" s="450">
        <f t="shared" si="167"/>
        <v>0</v>
      </c>
    </row>
    <row r="276" spans="1:53" s="246" customFormat="1" outlineLevel="1">
      <c r="A276" s="244"/>
      <c r="B276" s="244"/>
      <c r="C276" s="65" t="s">
        <v>54</v>
      </c>
      <c r="D276" s="85" t="s">
        <v>361</v>
      </c>
      <c r="E276" s="447" t="s">
        <v>318</v>
      </c>
      <c r="F276" s="448" t="s">
        <v>27</v>
      </c>
      <c r="G276" s="449">
        <f t="shared" ref="G276:L276" si="168">+IF(F30&lt;&gt;0,ROUND(G30/F30-1,4),0)</f>
        <v>0.24490000000000001</v>
      </c>
      <c r="H276" s="449">
        <f t="shared" si="168"/>
        <v>-0.21240000000000001</v>
      </c>
      <c r="I276" s="449">
        <f t="shared" si="168"/>
        <v>0.91320000000000001</v>
      </c>
      <c r="J276" s="449">
        <f t="shared" si="168"/>
        <v>0.1104</v>
      </c>
      <c r="K276" s="449">
        <f t="shared" si="168"/>
        <v>9.1300000000000006E-2</v>
      </c>
      <c r="L276" s="449">
        <f t="shared" si="168"/>
        <v>0.184</v>
      </c>
      <c r="M276" s="449">
        <f>+IF(K30&lt;&gt;0,ROUND(M30/K30-1,4),0)</f>
        <v>5.1000000000000004E-3</v>
      </c>
      <c r="N276" s="449">
        <f t="shared" ref="N276:BA276" si="169">+IF(M30&lt;&gt;0,ROUND(N30/M30-1,4),0)</f>
        <v>0.71560000000000001</v>
      </c>
      <c r="O276" s="449">
        <f t="shared" si="169"/>
        <v>-0.12740000000000001</v>
      </c>
      <c r="P276" s="449">
        <f t="shared" si="169"/>
        <v>-0.95550000000000002</v>
      </c>
      <c r="Q276" s="449">
        <f t="shared" si="169"/>
        <v>0.56610000000000005</v>
      </c>
      <c r="R276" s="449">
        <f t="shared" si="169"/>
        <v>0.43590000000000001</v>
      </c>
      <c r="S276" s="449">
        <f t="shared" si="169"/>
        <v>0.29420000000000002</v>
      </c>
      <c r="T276" s="449">
        <f t="shared" si="169"/>
        <v>0.38269999999999998</v>
      </c>
      <c r="U276" s="449">
        <f t="shared" si="169"/>
        <v>0.1313</v>
      </c>
      <c r="V276" s="449">
        <f t="shared" si="169"/>
        <v>9.3100000000000002E-2</v>
      </c>
      <c r="W276" s="449">
        <f t="shared" si="169"/>
        <v>7.5499999999999998E-2</v>
      </c>
      <c r="X276" s="449">
        <f t="shared" si="169"/>
        <v>-7.2999999999999995E-2</v>
      </c>
      <c r="Y276" s="449">
        <f t="shared" si="169"/>
        <v>5.9299999999999999E-2</v>
      </c>
      <c r="Z276" s="449">
        <f t="shared" si="169"/>
        <v>-1</v>
      </c>
      <c r="AA276" s="449">
        <f t="shared" si="169"/>
        <v>0</v>
      </c>
      <c r="AB276" s="449">
        <f t="shared" si="169"/>
        <v>0</v>
      </c>
      <c r="AC276" s="449">
        <f t="shared" si="169"/>
        <v>0</v>
      </c>
      <c r="AD276" s="449">
        <f t="shared" si="169"/>
        <v>0</v>
      </c>
      <c r="AE276" s="449">
        <f t="shared" si="169"/>
        <v>0</v>
      </c>
      <c r="AF276" s="449">
        <f t="shared" si="169"/>
        <v>0</v>
      </c>
      <c r="AG276" s="449">
        <f t="shared" si="169"/>
        <v>0</v>
      </c>
      <c r="AH276" s="449">
        <f t="shared" si="169"/>
        <v>0</v>
      </c>
      <c r="AI276" s="449">
        <f t="shared" si="169"/>
        <v>0</v>
      </c>
      <c r="AJ276" s="449">
        <f t="shared" si="169"/>
        <v>0</v>
      </c>
      <c r="AK276" s="449">
        <f t="shared" si="169"/>
        <v>0</v>
      </c>
      <c r="AL276" s="449">
        <f t="shared" si="169"/>
        <v>0</v>
      </c>
      <c r="AM276" s="449">
        <f t="shared" si="169"/>
        <v>0</v>
      </c>
      <c r="AN276" s="449">
        <f t="shared" si="169"/>
        <v>0</v>
      </c>
      <c r="AO276" s="449">
        <f t="shared" si="169"/>
        <v>0</v>
      </c>
      <c r="AP276" s="449">
        <f t="shared" si="169"/>
        <v>0</v>
      </c>
      <c r="AQ276" s="449">
        <f t="shared" si="169"/>
        <v>0</v>
      </c>
      <c r="AR276" s="449">
        <f t="shared" si="169"/>
        <v>0</v>
      </c>
      <c r="AS276" s="449">
        <f t="shared" si="169"/>
        <v>0</v>
      </c>
      <c r="AT276" s="449">
        <f t="shared" si="169"/>
        <v>0</v>
      </c>
      <c r="AU276" s="449">
        <f t="shared" si="169"/>
        <v>0</v>
      </c>
      <c r="AV276" s="449">
        <f t="shared" si="169"/>
        <v>0</v>
      </c>
      <c r="AW276" s="449">
        <f t="shared" si="169"/>
        <v>0</v>
      </c>
      <c r="AX276" s="449">
        <f t="shared" si="169"/>
        <v>0</v>
      </c>
      <c r="AY276" s="449">
        <f t="shared" si="169"/>
        <v>0</v>
      </c>
      <c r="AZ276" s="449">
        <f t="shared" si="169"/>
        <v>0</v>
      </c>
      <c r="BA276" s="450">
        <f t="shared" si="169"/>
        <v>0</v>
      </c>
    </row>
    <row r="277" spans="1:53" s="246" customFormat="1" outlineLevel="1">
      <c r="A277" s="244"/>
      <c r="B277" s="244"/>
      <c r="C277" s="98" t="s">
        <v>371</v>
      </c>
      <c r="D277" s="85" t="s">
        <v>362</v>
      </c>
      <c r="E277" s="111" t="s">
        <v>219</v>
      </c>
      <c r="F277" s="448" t="s">
        <v>27</v>
      </c>
      <c r="G277" s="449">
        <f t="shared" ref="G277:L278" si="170">+IF(F57&lt;&gt;0,ROUND(G57/F57-1,4),0)</f>
        <v>0</v>
      </c>
      <c r="H277" s="449">
        <f t="shared" si="170"/>
        <v>0</v>
      </c>
      <c r="I277" s="449">
        <f t="shared" si="170"/>
        <v>0</v>
      </c>
      <c r="J277" s="449">
        <f t="shared" si="170"/>
        <v>0</v>
      </c>
      <c r="K277" s="449">
        <f t="shared" si="170"/>
        <v>0</v>
      </c>
      <c r="L277" s="449">
        <f t="shared" si="170"/>
        <v>0</v>
      </c>
      <c r="M277" s="449">
        <f>+IF(K57&lt;&gt;0,ROUND(M57/K57-1,4),0)</f>
        <v>0</v>
      </c>
      <c r="N277" s="449">
        <f t="shared" ref="N277:BA278" si="171">+IF(M57&lt;&gt;0,ROUND(N57/M57-1,4),0)</f>
        <v>0.54549999999999998</v>
      </c>
      <c r="O277" s="449">
        <f t="shared" si="171"/>
        <v>-5.4300000000000001E-2</v>
      </c>
      <c r="P277" s="449">
        <f t="shared" si="171"/>
        <v>-0.11</v>
      </c>
      <c r="Q277" s="449">
        <f t="shared" si="171"/>
        <v>-0.129</v>
      </c>
      <c r="R277" s="449">
        <f t="shared" si="171"/>
        <v>-0.14810000000000001</v>
      </c>
      <c r="S277" s="449">
        <f t="shared" si="171"/>
        <v>-0.1739</v>
      </c>
      <c r="T277" s="449">
        <f t="shared" si="171"/>
        <v>-0.15790000000000001</v>
      </c>
      <c r="U277" s="449">
        <f t="shared" si="171"/>
        <v>-0.1875</v>
      </c>
      <c r="V277" s="449">
        <f t="shared" si="171"/>
        <v>-0.23080000000000001</v>
      </c>
      <c r="W277" s="449">
        <f t="shared" si="171"/>
        <v>-0.3</v>
      </c>
      <c r="X277" s="449">
        <f t="shared" si="171"/>
        <v>-0.5</v>
      </c>
      <c r="Y277" s="449">
        <f t="shared" si="171"/>
        <v>-1</v>
      </c>
      <c r="Z277" s="449">
        <f t="shared" si="171"/>
        <v>0</v>
      </c>
      <c r="AA277" s="449">
        <f t="shared" si="171"/>
        <v>0</v>
      </c>
      <c r="AB277" s="449">
        <f t="shared" si="171"/>
        <v>0</v>
      </c>
      <c r="AC277" s="449">
        <f t="shared" si="171"/>
        <v>0</v>
      </c>
      <c r="AD277" s="449">
        <f t="shared" si="171"/>
        <v>0</v>
      </c>
      <c r="AE277" s="449">
        <f t="shared" si="171"/>
        <v>0</v>
      </c>
      <c r="AF277" s="449">
        <f t="shared" si="171"/>
        <v>0</v>
      </c>
      <c r="AG277" s="449">
        <f t="shared" si="171"/>
        <v>0</v>
      </c>
      <c r="AH277" s="449">
        <f t="shared" si="171"/>
        <v>0</v>
      </c>
      <c r="AI277" s="449">
        <f t="shared" si="171"/>
        <v>0</v>
      </c>
      <c r="AJ277" s="449">
        <f t="shared" si="171"/>
        <v>0</v>
      </c>
      <c r="AK277" s="449">
        <f t="shared" si="171"/>
        <v>0</v>
      </c>
      <c r="AL277" s="449">
        <f t="shared" si="171"/>
        <v>0</v>
      </c>
      <c r="AM277" s="449">
        <f t="shared" si="171"/>
        <v>0</v>
      </c>
      <c r="AN277" s="449">
        <f t="shared" si="171"/>
        <v>0</v>
      </c>
      <c r="AO277" s="449">
        <f t="shared" si="171"/>
        <v>0</v>
      </c>
      <c r="AP277" s="449">
        <f t="shared" si="171"/>
        <v>0</v>
      </c>
      <c r="AQ277" s="449">
        <f t="shared" si="171"/>
        <v>0</v>
      </c>
      <c r="AR277" s="449">
        <f t="shared" si="171"/>
        <v>0</v>
      </c>
      <c r="AS277" s="449">
        <f t="shared" si="171"/>
        <v>0</v>
      </c>
      <c r="AT277" s="449">
        <f t="shared" si="171"/>
        <v>0</v>
      </c>
      <c r="AU277" s="449">
        <f t="shared" si="171"/>
        <v>0</v>
      </c>
      <c r="AV277" s="449">
        <f t="shared" si="171"/>
        <v>0</v>
      </c>
      <c r="AW277" s="449">
        <f t="shared" si="171"/>
        <v>0</v>
      </c>
      <c r="AX277" s="449">
        <f t="shared" si="171"/>
        <v>0</v>
      </c>
      <c r="AY277" s="449">
        <f t="shared" si="171"/>
        <v>0</v>
      </c>
      <c r="AZ277" s="449">
        <f t="shared" si="171"/>
        <v>0</v>
      </c>
      <c r="BA277" s="450">
        <f t="shared" si="171"/>
        <v>0</v>
      </c>
    </row>
    <row r="278" spans="1:53" s="246" customFormat="1" outlineLevel="1">
      <c r="A278" s="244"/>
      <c r="B278" s="244"/>
      <c r="C278" s="65" t="s">
        <v>61</v>
      </c>
      <c r="D278" s="85"/>
      <c r="E278" s="447" t="s">
        <v>331</v>
      </c>
      <c r="F278" s="448" t="s">
        <v>27</v>
      </c>
      <c r="G278" s="449">
        <f t="shared" si="170"/>
        <v>0</v>
      </c>
      <c r="H278" s="449">
        <f t="shared" si="170"/>
        <v>0</v>
      </c>
      <c r="I278" s="449">
        <f t="shared" si="170"/>
        <v>0</v>
      </c>
      <c r="J278" s="449">
        <f t="shared" si="170"/>
        <v>0</v>
      </c>
      <c r="K278" s="449">
        <f t="shared" si="170"/>
        <v>0</v>
      </c>
      <c r="L278" s="449">
        <f t="shared" si="170"/>
        <v>0</v>
      </c>
      <c r="M278" s="449">
        <f>+IF(K58&lt;&gt;0,ROUND(M58/K58-1,4),0)</f>
        <v>0</v>
      </c>
      <c r="N278" s="449">
        <f t="shared" si="171"/>
        <v>0</v>
      </c>
      <c r="O278" s="449">
        <f t="shared" si="171"/>
        <v>0</v>
      </c>
      <c r="P278" s="449">
        <f t="shared" si="171"/>
        <v>0</v>
      </c>
      <c r="Q278" s="449">
        <f t="shared" si="171"/>
        <v>0</v>
      </c>
      <c r="R278" s="449">
        <f t="shared" si="171"/>
        <v>0</v>
      </c>
      <c r="S278" s="449">
        <f t="shared" si="171"/>
        <v>0</v>
      </c>
      <c r="T278" s="449">
        <f t="shared" si="171"/>
        <v>0</v>
      </c>
      <c r="U278" s="449">
        <f t="shared" si="171"/>
        <v>0</v>
      </c>
      <c r="V278" s="449">
        <f t="shared" si="171"/>
        <v>0</v>
      </c>
      <c r="W278" s="449">
        <f t="shared" si="171"/>
        <v>0</v>
      </c>
      <c r="X278" s="449">
        <f t="shared" si="171"/>
        <v>0</v>
      </c>
      <c r="Y278" s="449">
        <f t="shared" si="171"/>
        <v>0</v>
      </c>
      <c r="Z278" s="449">
        <f t="shared" si="171"/>
        <v>0</v>
      </c>
      <c r="AA278" s="449">
        <f t="shared" si="171"/>
        <v>0</v>
      </c>
      <c r="AB278" s="449">
        <f t="shared" si="171"/>
        <v>0</v>
      </c>
      <c r="AC278" s="449">
        <f t="shared" si="171"/>
        <v>0</v>
      </c>
      <c r="AD278" s="449">
        <f t="shared" si="171"/>
        <v>0</v>
      </c>
      <c r="AE278" s="449">
        <f t="shared" si="171"/>
        <v>0</v>
      </c>
      <c r="AF278" s="449">
        <f t="shared" si="171"/>
        <v>0</v>
      </c>
      <c r="AG278" s="449">
        <f t="shared" si="171"/>
        <v>0</v>
      </c>
      <c r="AH278" s="449">
        <f t="shared" si="171"/>
        <v>0</v>
      </c>
      <c r="AI278" s="449">
        <f t="shared" si="171"/>
        <v>0</v>
      </c>
      <c r="AJ278" s="449">
        <f t="shared" si="171"/>
        <v>0</v>
      </c>
      <c r="AK278" s="449">
        <f t="shared" si="171"/>
        <v>0</v>
      </c>
      <c r="AL278" s="449">
        <f t="shared" si="171"/>
        <v>0</v>
      </c>
      <c r="AM278" s="449">
        <f t="shared" si="171"/>
        <v>0</v>
      </c>
      <c r="AN278" s="449">
        <f t="shared" si="171"/>
        <v>0</v>
      </c>
      <c r="AO278" s="449">
        <f t="shared" si="171"/>
        <v>0</v>
      </c>
      <c r="AP278" s="449">
        <f t="shared" si="171"/>
        <v>0</v>
      </c>
      <c r="AQ278" s="449">
        <f t="shared" si="171"/>
        <v>0</v>
      </c>
      <c r="AR278" s="449">
        <f t="shared" si="171"/>
        <v>0</v>
      </c>
      <c r="AS278" s="449">
        <f t="shared" si="171"/>
        <v>0</v>
      </c>
      <c r="AT278" s="449">
        <f t="shared" si="171"/>
        <v>0</v>
      </c>
      <c r="AU278" s="449">
        <f t="shared" si="171"/>
        <v>0</v>
      </c>
      <c r="AV278" s="449">
        <f t="shared" si="171"/>
        <v>0</v>
      </c>
      <c r="AW278" s="449">
        <f t="shared" si="171"/>
        <v>0</v>
      </c>
      <c r="AX278" s="449">
        <f t="shared" si="171"/>
        <v>0</v>
      </c>
      <c r="AY278" s="449">
        <f t="shared" si="171"/>
        <v>0</v>
      </c>
      <c r="AZ278" s="449">
        <f t="shared" si="171"/>
        <v>0</v>
      </c>
      <c r="BA278" s="450">
        <f t="shared" si="171"/>
        <v>0</v>
      </c>
    </row>
    <row r="279" spans="1:53" s="246" customFormat="1" outlineLevel="1">
      <c r="A279" s="244"/>
      <c r="B279" s="244"/>
      <c r="C279" s="22">
        <v>7</v>
      </c>
      <c r="D279" s="85"/>
      <c r="E279" s="111" t="s">
        <v>62</v>
      </c>
      <c r="F279" s="448"/>
      <c r="G279" s="451"/>
      <c r="H279" s="451"/>
      <c r="I279" s="451"/>
      <c r="J279" s="451"/>
      <c r="K279" s="451"/>
      <c r="L279" s="451"/>
      <c r="M279" s="451"/>
      <c r="N279" s="452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451"/>
      <c r="AA279" s="451"/>
      <c r="AB279" s="451"/>
      <c r="AC279" s="451"/>
      <c r="AD279" s="451"/>
      <c r="AE279" s="451"/>
      <c r="AF279" s="451"/>
      <c r="AG279" s="451"/>
      <c r="AH279" s="451"/>
      <c r="AI279" s="451"/>
      <c r="AJ279" s="451"/>
      <c r="AK279" s="451"/>
      <c r="AL279" s="451"/>
      <c r="AM279" s="451"/>
      <c r="AN279" s="451"/>
      <c r="AO279" s="451"/>
      <c r="AP279" s="451"/>
      <c r="AQ279" s="451"/>
      <c r="AR279" s="451"/>
      <c r="AS279" s="451"/>
      <c r="AT279" s="451"/>
      <c r="AU279" s="451"/>
      <c r="AV279" s="451"/>
      <c r="AW279" s="451"/>
      <c r="AX279" s="451"/>
      <c r="AY279" s="451"/>
      <c r="AZ279" s="451"/>
      <c r="BA279" s="453"/>
    </row>
    <row r="280" spans="1:53" s="246" customFormat="1" outlineLevel="1">
      <c r="A280" s="244"/>
      <c r="B280" s="244"/>
      <c r="C280" s="73" t="s">
        <v>301</v>
      </c>
      <c r="D280" s="85" t="s">
        <v>367</v>
      </c>
      <c r="E280" s="454" t="s">
        <v>102</v>
      </c>
      <c r="F280" s="448" t="s">
        <v>27</v>
      </c>
      <c r="G280" s="449">
        <f t="shared" ref="G280:L281" si="172">+IF(F60&lt;&gt;0,ROUND(G60/F60-1,4),0)</f>
        <v>0.85040000000000004</v>
      </c>
      <c r="H280" s="449">
        <f t="shared" si="172"/>
        <v>-0.18079999999999999</v>
      </c>
      <c r="I280" s="449">
        <f t="shared" si="172"/>
        <v>0.19070000000000001</v>
      </c>
      <c r="J280" s="449">
        <f t="shared" si="172"/>
        <v>0.38319999999999999</v>
      </c>
      <c r="K280" s="449">
        <f t="shared" si="172"/>
        <v>-0.21890000000000001</v>
      </c>
      <c r="L280" s="449">
        <f t="shared" si="172"/>
        <v>-0.53779999999999994</v>
      </c>
      <c r="M280" s="449">
        <f>+IF(K60&lt;&gt;0,ROUND(M60/K60-1,4),0)</f>
        <v>0.90749999999999997</v>
      </c>
      <c r="N280" s="449">
        <f t="shared" ref="N280:BA281" si="173">+IF(M60&lt;&gt;0,ROUND(N60/M60-1,4),0)</f>
        <v>-0.87909999999999999</v>
      </c>
      <c r="O280" s="449">
        <f t="shared" si="173"/>
        <v>0.8</v>
      </c>
      <c r="P280" s="449">
        <f t="shared" si="173"/>
        <v>0.28370000000000001</v>
      </c>
      <c r="Q280" s="449">
        <f t="shared" si="173"/>
        <v>0.27329999999999999</v>
      </c>
      <c r="R280" s="449">
        <f t="shared" si="173"/>
        <v>0.22589999999999999</v>
      </c>
      <c r="S280" s="449">
        <f t="shared" si="173"/>
        <v>0.17860000000000001</v>
      </c>
      <c r="T280" s="449">
        <f t="shared" si="173"/>
        <v>0.14399999999999999</v>
      </c>
      <c r="U280" s="449">
        <f t="shared" si="173"/>
        <v>0.10580000000000001</v>
      </c>
      <c r="V280" s="449">
        <f t="shared" si="173"/>
        <v>7.6700000000000004E-2</v>
      </c>
      <c r="W280" s="449">
        <f t="shared" si="173"/>
        <v>6.3200000000000006E-2</v>
      </c>
      <c r="X280" s="449">
        <f t="shared" si="173"/>
        <v>5.3400000000000003E-2</v>
      </c>
      <c r="Y280" s="449">
        <f t="shared" si="173"/>
        <v>4.4200000000000003E-2</v>
      </c>
      <c r="Z280" s="449">
        <f t="shared" si="173"/>
        <v>-1</v>
      </c>
      <c r="AA280" s="449">
        <f t="shared" si="173"/>
        <v>0</v>
      </c>
      <c r="AB280" s="449">
        <f t="shared" si="173"/>
        <v>0</v>
      </c>
      <c r="AC280" s="449">
        <f t="shared" si="173"/>
        <v>0</v>
      </c>
      <c r="AD280" s="449">
        <f t="shared" si="173"/>
        <v>0</v>
      </c>
      <c r="AE280" s="449">
        <f t="shared" si="173"/>
        <v>0</v>
      </c>
      <c r="AF280" s="449">
        <f t="shared" si="173"/>
        <v>0</v>
      </c>
      <c r="AG280" s="449">
        <f t="shared" si="173"/>
        <v>0</v>
      </c>
      <c r="AH280" s="449">
        <f t="shared" si="173"/>
        <v>0</v>
      </c>
      <c r="AI280" s="449">
        <f t="shared" si="173"/>
        <v>0</v>
      </c>
      <c r="AJ280" s="449">
        <f t="shared" si="173"/>
        <v>0</v>
      </c>
      <c r="AK280" s="449">
        <f t="shared" si="173"/>
        <v>0</v>
      </c>
      <c r="AL280" s="449">
        <f t="shared" si="173"/>
        <v>0</v>
      </c>
      <c r="AM280" s="449">
        <f t="shared" si="173"/>
        <v>0</v>
      </c>
      <c r="AN280" s="449">
        <f t="shared" si="173"/>
        <v>0</v>
      </c>
      <c r="AO280" s="449">
        <f t="shared" si="173"/>
        <v>0</v>
      </c>
      <c r="AP280" s="449">
        <f t="shared" si="173"/>
        <v>0</v>
      </c>
      <c r="AQ280" s="449">
        <f t="shared" si="173"/>
        <v>0</v>
      </c>
      <c r="AR280" s="449">
        <f t="shared" si="173"/>
        <v>0</v>
      </c>
      <c r="AS280" s="449">
        <f t="shared" si="173"/>
        <v>0</v>
      </c>
      <c r="AT280" s="449">
        <f t="shared" si="173"/>
        <v>0</v>
      </c>
      <c r="AU280" s="449">
        <f t="shared" si="173"/>
        <v>0</v>
      </c>
      <c r="AV280" s="449">
        <f t="shared" si="173"/>
        <v>0</v>
      </c>
      <c r="AW280" s="449">
        <f t="shared" si="173"/>
        <v>0</v>
      </c>
      <c r="AX280" s="449">
        <f t="shared" si="173"/>
        <v>0</v>
      </c>
      <c r="AY280" s="449">
        <f t="shared" si="173"/>
        <v>0</v>
      </c>
      <c r="AZ280" s="449">
        <f t="shared" si="173"/>
        <v>0</v>
      </c>
      <c r="BA280" s="450">
        <f t="shared" si="173"/>
        <v>0</v>
      </c>
    </row>
    <row r="281" spans="1:53" s="246" customFormat="1" outlineLevel="1">
      <c r="A281" s="244"/>
      <c r="B281" s="244"/>
      <c r="C281" s="65" t="s">
        <v>302</v>
      </c>
      <c r="D281" s="85"/>
      <c r="E281" s="447" t="s">
        <v>544</v>
      </c>
      <c r="F281" s="448" t="s">
        <v>27</v>
      </c>
      <c r="G281" s="449">
        <f t="shared" si="172"/>
        <v>0.85040000000000004</v>
      </c>
      <c r="H281" s="449">
        <f t="shared" si="172"/>
        <v>-0.18079999999999999</v>
      </c>
      <c r="I281" s="449">
        <f t="shared" si="172"/>
        <v>0.19070000000000001</v>
      </c>
      <c r="J281" s="449">
        <f t="shared" si="172"/>
        <v>0.78339999999999999</v>
      </c>
      <c r="K281" s="449">
        <f t="shared" si="172"/>
        <v>0.51790000000000003</v>
      </c>
      <c r="L281" s="449">
        <f t="shared" si="172"/>
        <v>0.10580000000000001</v>
      </c>
      <c r="M281" s="449">
        <f>+IF(K61&lt;&gt;0,ROUND(M61/K61-1,4),0)</f>
        <v>0.68630000000000002</v>
      </c>
      <c r="N281" s="449">
        <f t="shared" si="173"/>
        <v>-0.5242</v>
      </c>
      <c r="O281" s="449">
        <f t="shared" si="173"/>
        <v>-0.79339999999999999</v>
      </c>
      <c r="P281" s="449">
        <f t="shared" si="173"/>
        <v>0.28370000000000001</v>
      </c>
      <c r="Q281" s="449">
        <f t="shared" si="173"/>
        <v>0.27329999999999999</v>
      </c>
      <c r="R281" s="449">
        <f t="shared" si="173"/>
        <v>0.22589999999999999</v>
      </c>
      <c r="S281" s="449">
        <f t="shared" si="173"/>
        <v>0.17860000000000001</v>
      </c>
      <c r="T281" s="449">
        <f t="shared" si="173"/>
        <v>0.14399999999999999</v>
      </c>
      <c r="U281" s="449">
        <f t="shared" si="173"/>
        <v>0.10580000000000001</v>
      </c>
      <c r="V281" s="449">
        <f t="shared" si="173"/>
        <v>7.6700000000000004E-2</v>
      </c>
      <c r="W281" s="449">
        <f t="shared" si="173"/>
        <v>6.3200000000000006E-2</v>
      </c>
      <c r="X281" s="449">
        <f t="shared" si="173"/>
        <v>5.3400000000000003E-2</v>
      </c>
      <c r="Y281" s="449">
        <f t="shared" si="173"/>
        <v>4.4200000000000003E-2</v>
      </c>
      <c r="Z281" s="449">
        <f t="shared" si="173"/>
        <v>-1</v>
      </c>
      <c r="AA281" s="449">
        <f t="shared" si="173"/>
        <v>0</v>
      </c>
      <c r="AB281" s="449">
        <f t="shared" si="173"/>
        <v>0</v>
      </c>
      <c r="AC281" s="449">
        <f t="shared" si="173"/>
        <v>0</v>
      </c>
      <c r="AD281" s="449">
        <f t="shared" si="173"/>
        <v>0</v>
      </c>
      <c r="AE281" s="449">
        <f t="shared" si="173"/>
        <v>0</v>
      </c>
      <c r="AF281" s="449">
        <f t="shared" si="173"/>
        <v>0</v>
      </c>
      <c r="AG281" s="449">
        <f t="shared" si="173"/>
        <v>0</v>
      </c>
      <c r="AH281" s="449">
        <f t="shared" si="173"/>
        <v>0</v>
      </c>
      <c r="AI281" s="449">
        <f t="shared" si="173"/>
        <v>0</v>
      </c>
      <c r="AJ281" s="449">
        <f t="shared" si="173"/>
        <v>0</v>
      </c>
      <c r="AK281" s="449">
        <f t="shared" si="173"/>
        <v>0</v>
      </c>
      <c r="AL281" s="449">
        <f t="shared" si="173"/>
        <v>0</v>
      </c>
      <c r="AM281" s="449">
        <f t="shared" si="173"/>
        <v>0</v>
      </c>
      <c r="AN281" s="449">
        <f t="shared" si="173"/>
        <v>0</v>
      </c>
      <c r="AO281" s="449">
        <f t="shared" si="173"/>
        <v>0</v>
      </c>
      <c r="AP281" s="449">
        <f t="shared" si="173"/>
        <v>0</v>
      </c>
      <c r="AQ281" s="449">
        <f t="shared" si="173"/>
        <v>0</v>
      </c>
      <c r="AR281" s="449">
        <f t="shared" si="173"/>
        <v>0</v>
      </c>
      <c r="AS281" s="449">
        <f t="shared" si="173"/>
        <v>0</v>
      </c>
      <c r="AT281" s="449">
        <f t="shared" si="173"/>
        <v>0</v>
      </c>
      <c r="AU281" s="449">
        <f t="shared" si="173"/>
        <v>0</v>
      </c>
      <c r="AV281" s="449">
        <f t="shared" si="173"/>
        <v>0</v>
      </c>
      <c r="AW281" s="449">
        <f t="shared" si="173"/>
        <v>0</v>
      </c>
      <c r="AX281" s="449">
        <f t="shared" si="173"/>
        <v>0</v>
      </c>
      <c r="AY281" s="449">
        <f t="shared" si="173"/>
        <v>0</v>
      </c>
      <c r="AZ281" s="449">
        <f t="shared" si="173"/>
        <v>0</v>
      </c>
      <c r="BA281" s="450">
        <f t="shared" si="173"/>
        <v>0</v>
      </c>
    </row>
    <row r="282" spans="1:53" s="246" customFormat="1" ht="24" outlineLevel="1">
      <c r="A282" s="244"/>
      <c r="B282" s="244"/>
      <c r="C282" s="22">
        <v>9</v>
      </c>
      <c r="D282" s="85"/>
      <c r="E282" s="111" t="s">
        <v>50</v>
      </c>
      <c r="F282" s="448"/>
      <c r="G282" s="451"/>
      <c r="H282" s="451"/>
      <c r="I282" s="451"/>
      <c r="J282" s="451"/>
      <c r="K282" s="451"/>
      <c r="L282" s="451"/>
      <c r="M282" s="451"/>
      <c r="N282" s="451"/>
      <c r="O282" s="451"/>
      <c r="P282" s="451"/>
      <c r="Q282" s="451"/>
      <c r="R282" s="451"/>
      <c r="S282" s="451"/>
      <c r="T282" s="451"/>
      <c r="U282" s="451"/>
      <c r="V282" s="451"/>
      <c r="W282" s="451"/>
      <c r="X282" s="451"/>
      <c r="Y282" s="451"/>
      <c r="Z282" s="451"/>
      <c r="AA282" s="451"/>
      <c r="AB282" s="451"/>
      <c r="AC282" s="451"/>
      <c r="AD282" s="451"/>
      <c r="AE282" s="451"/>
      <c r="AF282" s="451"/>
      <c r="AG282" s="451"/>
      <c r="AH282" s="451"/>
      <c r="AI282" s="451"/>
      <c r="AJ282" s="451"/>
      <c r="AK282" s="451"/>
      <c r="AL282" s="451"/>
      <c r="AM282" s="451"/>
      <c r="AN282" s="451"/>
      <c r="AO282" s="451"/>
      <c r="AP282" s="451"/>
      <c r="AQ282" s="451"/>
      <c r="AR282" s="451"/>
      <c r="AS282" s="451"/>
      <c r="AT282" s="451"/>
      <c r="AU282" s="451"/>
      <c r="AV282" s="451"/>
      <c r="AW282" s="451"/>
      <c r="AX282" s="451"/>
      <c r="AY282" s="451"/>
      <c r="AZ282" s="451"/>
      <c r="BA282" s="453"/>
    </row>
    <row r="283" spans="1:53" s="246" customFormat="1" ht="24" outlineLevel="1">
      <c r="A283" s="244"/>
      <c r="B283" s="244"/>
      <c r="C283" s="65" t="s">
        <v>66</v>
      </c>
      <c r="D283" s="85"/>
      <c r="E283" s="447" t="s">
        <v>335</v>
      </c>
      <c r="F283" s="448" t="s">
        <v>27</v>
      </c>
      <c r="G283" s="449">
        <f t="shared" ref="G283:L284" si="174">+IF(F78&lt;&gt;0,ROUND(G78/F78-1,4),0)</f>
        <v>-0.44219999999999998</v>
      </c>
      <c r="H283" s="449">
        <f t="shared" si="174"/>
        <v>4.1356000000000002</v>
      </c>
      <c r="I283" s="449">
        <f t="shared" si="174"/>
        <v>0.50719999999999998</v>
      </c>
      <c r="J283" s="449">
        <f t="shared" si="174"/>
        <v>7.8200000000000006E-2</v>
      </c>
      <c r="K283" s="449">
        <f t="shared" si="174"/>
        <v>7.6399999999999996E-2</v>
      </c>
      <c r="L283" s="449">
        <f t="shared" si="174"/>
        <v>0.24030000000000001</v>
      </c>
      <c r="M283" s="449">
        <f>+IF(K78&lt;&gt;0,ROUND(M78/K78-1,4),0)</f>
        <v>0.15659999999999999</v>
      </c>
      <c r="N283" s="449">
        <f t="shared" ref="N283:BA284" si="175">+IF(M78&lt;&gt;0,ROUND(N78/M78-1,4),0)</f>
        <v>0.53269999999999995</v>
      </c>
      <c r="O283" s="449">
        <f t="shared" si="175"/>
        <v>-1</v>
      </c>
      <c r="P283" s="449">
        <f t="shared" si="175"/>
        <v>0</v>
      </c>
      <c r="Q283" s="449">
        <f t="shared" si="175"/>
        <v>0</v>
      </c>
      <c r="R283" s="449">
        <f t="shared" si="175"/>
        <v>0</v>
      </c>
      <c r="S283" s="449">
        <f t="shared" si="175"/>
        <v>0</v>
      </c>
      <c r="T283" s="449">
        <f t="shared" si="175"/>
        <v>0</v>
      </c>
      <c r="U283" s="449">
        <f t="shared" si="175"/>
        <v>0</v>
      </c>
      <c r="V283" s="449">
        <f t="shared" si="175"/>
        <v>0</v>
      </c>
      <c r="W283" s="449">
        <f t="shared" si="175"/>
        <v>0</v>
      </c>
      <c r="X283" s="449">
        <f t="shared" si="175"/>
        <v>0</v>
      </c>
      <c r="Y283" s="449">
        <f t="shared" si="175"/>
        <v>0</v>
      </c>
      <c r="Z283" s="449">
        <f t="shared" si="175"/>
        <v>0</v>
      </c>
      <c r="AA283" s="449">
        <f t="shared" si="175"/>
        <v>0</v>
      </c>
      <c r="AB283" s="449">
        <f t="shared" si="175"/>
        <v>0</v>
      </c>
      <c r="AC283" s="449">
        <f t="shared" si="175"/>
        <v>0</v>
      </c>
      <c r="AD283" s="449">
        <f t="shared" si="175"/>
        <v>0</v>
      </c>
      <c r="AE283" s="449">
        <f t="shared" si="175"/>
        <v>0</v>
      </c>
      <c r="AF283" s="449">
        <f t="shared" si="175"/>
        <v>0</v>
      </c>
      <c r="AG283" s="449">
        <f t="shared" si="175"/>
        <v>0</v>
      </c>
      <c r="AH283" s="449">
        <f t="shared" si="175"/>
        <v>0</v>
      </c>
      <c r="AI283" s="449">
        <f t="shared" si="175"/>
        <v>0</v>
      </c>
      <c r="AJ283" s="449">
        <f t="shared" si="175"/>
        <v>0</v>
      </c>
      <c r="AK283" s="449">
        <f t="shared" si="175"/>
        <v>0</v>
      </c>
      <c r="AL283" s="449">
        <f t="shared" si="175"/>
        <v>0</v>
      </c>
      <c r="AM283" s="449">
        <f t="shared" si="175"/>
        <v>0</v>
      </c>
      <c r="AN283" s="449">
        <f t="shared" si="175"/>
        <v>0</v>
      </c>
      <c r="AO283" s="449">
        <f t="shared" si="175"/>
        <v>0</v>
      </c>
      <c r="AP283" s="449">
        <f t="shared" si="175"/>
        <v>0</v>
      </c>
      <c r="AQ283" s="449">
        <f t="shared" si="175"/>
        <v>0</v>
      </c>
      <c r="AR283" s="449">
        <f t="shared" si="175"/>
        <v>0</v>
      </c>
      <c r="AS283" s="449">
        <f t="shared" si="175"/>
        <v>0</v>
      </c>
      <c r="AT283" s="449">
        <f t="shared" si="175"/>
        <v>0</v>
      </c>
      <c r="AU283" s="449">
        <f t="shared" si="175"/>
        <v>0</v>
      </c>
      <c r="AV283" s="449">
        <f t="shared" si="175"/>
        <v>0</v>
      </c>
      <c r="AW283" s="449">
        <f t="shared" si="175"/>
        <v>0</v>
      </c>
      <c r="AX283" s="449">
        <f t="shared" si="175"/>
        <v>0</v>
      </c>
      <c r="AY283" s="449">
        <f t="shared" si="175"/>
        <v>0</v>
      </c>
      <c r="AZ283" s="449">
        <f t="shared" si="175"/>
        <v>0</v>
      </c>
      <c r="BA283" s="450">
        <f t="shared" si="175"/>
        <v>0</v>
      </c>
    </row>
    <row r="284" spans="1:53" s="246" customFormat="1" ht="24" outlineLevel="1">
      <c r="A284" s="244"/>
      <c r="B284" s="244"/>
      <c r="C284" s="65" t="s">
        <v>283</v>
      </c>
      <c r="D284" s="85"/>
      <c r="E284" s="109" t="s">
        <v>336</v>
      </c>
      <c r="F284" s="448" t="s">
        <v>27</v>
      </c>
      <c r="G284" s="449">
        <f t="shared" si="174"/>
        <v>-0.44219999999999998</v>
      </c>
      <c r="H284" s="449">
        <f t="shared" si="174"/>
        <v>4.1356000000000002</v>
      </c>
      <c r="I284" s="449">
        <f t="shared" si="174"/>
        <v>0.50719999999999998</v>
      </c>
      <c r="J284" s="449">
        <f t="shared" si="174"/>
        <v>7.8200000000000006E-2</v>
      </c>
      <c r="K284" s="449">
        <f t="shared" si="174"/>
        <v>7.6399999999999996E-2</v>
      </c>
      <c r="L284" s="449">
        <f t="shared" si="174"/>
        <v>0.24030000000000001</v>
      </c>
      <c r="M284" s="449">
        <f>+IF(K79&lt;&gt;0,ROUND(M79/K79-1,4),0)</f>
        <v>0.15659999999999999</v>
      </c>
      <c r="N284" s="449">
        <f t="shared" si="175"/>
        <v>0.53269999999999995</v>
      </c>
      <c r="O284" s="449">
        <f t="shared" si="175"/>
        <v>-1</v>
      </c>
      <c r="P284" s="449">
        <f t="shared" si="175"/>
        <v>0</v>
      </c>
      <c r="Q284" s="449">
        <f t="shared" si="175"/>
        <v>0</v>
      </c>
      <c r="R284" s="449">
        <f t="shared" si="175"/>
        <v>0</v>
      </c>
      <c r="S284" s="449">
        <f t="shared" si="175"/>
        <v>0</v>
      </c>
      <c r="T284" s="449">
        <f t="shared" si="175"/>
        <v>0</v>
      </c>
      <c r="U284" s="449">
        <f t="shared" si="175"/>
        <v>0</v>
      </c>
      <c r="V284" s="449">
        <f t="shared" si="175"/>
        <v>0</v>
      </c>
      <c r="W284" s="449">
        <f t="shared" si="175"/>
        <v>0</v>
      </c>
      <c r="X284" s="449">
        <f t="shared" si="175"/>
        <v>0</v>
      </c>
      <c r="Y284" s="449">
        <f t="shared" si="175"/>
        <v>0</v>
      </c>
      <c r="Z284" s="449">
        <f t="shared" si="175"/>
        <v>0</v>
      </c>
      <c r="AA284" s="449">
        <f t="shared" si="175"/>
        <v>0</v>
      </c>
      <c r="AB284" s="449">
        <f t="shared" si="175"/>
        <v>0</v>
      </c>
      <c r="AC284" s="449">
        <f t="shared" si="175"/>
        <v>0</v>
      </c>
      <c r="AD284" s="449">
        <f t="shared" si="175"/>
        <v>0</v>
      </c>
      <c r="AE284" s="449">
        <f t="shared" si="175"/>
        <v>0</v>
      </c>
      <c r="AF284" s="449">
        <f t="shared" si="175"/>
        <v>0</v>
      </c>
      <c r="AG284" s="449">
        <f t="shared" si="175"/>
        <v>0</v>
      </c>
      <c r="AH284" s="449">
        <f t="shared" si="175"/>
        <v>0</v>
      </c>
      <c r="AI284" s="449">
        <f t="shared" si="175"/>
        <v>0</v>
      </c>
      <c r="AJ284" s="449">
        <f t="shared" si="175"/>
        <v>0</v>
      </c>
      <c r="AK284" s="449">
        <f t="shared" si="175"/>
        <v>0</v>
      </c>
      <c r="AL284" s="449">
        <f t="shared" si="175"/>
        <v>0</v>
      </c>
      <c r="AM284" s="449">
        <f t="shared" si="175"/>
        <v>0</v>
      </c>
      <c r="AN284" s="449">
        <f t="shared" si="175"/>
        <v>0</v>
      </c>
      <c r="AO284" s="449">
        <f t="shared" si="175"/>
        <v>0</v>
      </c>
      <c r="AP284" s="449">
        <f t="shared" si="175"/>
        <v>0</v>
      </c>
      <c r="AQ284" s="449">
        <f t="shared" si="175"/>
        <v>0</v>
      </c>
      <c r="AR284" s="449">
        <f t="shared" si="175"/>
        <v>0</v>
      </c>
      <c r="AS284" s="449">
        <f t="shared" si="175"/>
        <v>0</v>
      </c>
      <c r="AT284" s="449">
        <f t="shared" si="175"/>
        <v>0</v>
      </c>
      <c r="AU284" s="449">
        <f t="shared" si="175"/>
        <v>0</v>
      </c>
      <c r="AV284" s="449">
        <f t="shared" si="175"/>
        <v>0</v>
      </c>
      <c r="AW284" s="449">
        <f t="shared" si="175"/>
        <v>0</v>
      </c>
      <c r="AX284" s="449">
        <f t="shared" si="175"/>
        <v>0</v>
      </c>
      <c r="AY284" s="449">
        <f t="shared" si="175"/>
        <v>0</v>
      </c>
      <c r="AZ284" s="449">
        <f t="shared" si="175"/>
        <v>0</v>
      </c>
      <c r="BA284" s="450">
        <f t="shared" si="175"/>
        <v>0</v>
      </c>
    </row>
    <row r="285" spans="1:53" s="246" customFormat="1" ht="24" outlineLevel="1">
      <c r="A285" s="244"/>
      <c r="B285" s="244"/>
      <c r="C285" s="65" t="s">
        <v>67</v>
      </c>
      <c r="D285" s="85"/>
      <c r="E285" s="447" t="s">
        <v>338</v>
      </c>
      <c r="F285" s="448" t="s">
        <v>27</v>
      </c>
      <c r="G285" s="449">
        <f t="shared" ref="G285:L286" si="176">+IF(F81&lt;&gt;0,ROUND(G81/F81-1,4),0)</f>
        <v>0</v>
      </c>
      <c r="H285" s="449">
        <f t="shared" si="176"/>
        <v>0</v>
      </c>
      <c r="I285" s="449">
        <f t="shared" si="176"/>
        <v>0</v>
      </c>
      <c r="J285" s="449">
        <f t="shared" si="176"/>
        <v>0.80210000000000004</v>
      </c>
      <c r="K285" s="449">
        <f t="shared" si="176"/>
        <v>-0.50739999999999996</v>
      </c>
      <c r="L285" s="449">
        <f t="shared" si="176"/>
        <v>-1</v>
      </c>
      <c r="M285" s="449">
        <f>+IF(K81&lt;&gt;0,ROUND(M81/K81-1,4),0)</f>
        <v>-1</v>
      </c>
      <c r="N285" s="449">
        <f t="shared" ref="N285:BA286" si="177">+IF(M81&lt;&gt;0,ROUND(N81/M81-1,4),0)</f>
        <v>0</v>
      </c>
      <c r="O285" s="449">
        <f t="shared" si="177"/>
        <v>-1</v>
      </c>
      <c r="P285" s="449">
        <f t="shared" si="177"/>
        <v>0</v>
      </c>
      <c r="Q285" s="449">
        <f t="shared" si="177"/>
        <v>0</v>
      </c>
      <c r="R285" s="449">
        <f t="shared" si="177"/>
        <v>0</v>
      </c>
      <c r="S285" s="449">
        <f t="shared" si="177"/>
        <v>0</v>
      </c>
      <c r="T285" s="449">
        <f t="shared" si="177"/>
        <v>0</v>
      </c>
      <c r="U285" s="449">
        <f t="shared" si="177"/>
        <v>0</v>
      </c>
      <c r="V285" s="449">
        <f t="shared" si="177"/>
        <v>0</v>
      </c>
      <c r="W285" s="449">
        <f t="shared" si="177"/>
        <v>0</v>
      </c>
      <c r="X285" s="449">
        <f t="shared" si="177"/>
        <v>0</v>
      </c>
      <c r="Y285" s="449">
        <f t="shared" si="177"/>
        <v>0</v>
      </c>
      <c r="Z285" s="449">
        <f t="shared" si="177"/>
        <v>0</v>
      </c>
      <c r="AA285" s="449">
        <f t="shared" si="177"/>
        <v>0</v>
      </c>
      <c r="AB285" s="449">
        <f t="shared" si="177"/>
        <v>0</v>
      </c>
      <c r="AC285" s="449">
        <f t="shared" si="177"/>
        <v>0</v>
      </c>
      <c r="AD285" s="449">
        <f t="shared" si="177"/>
        <v>0</v>
      </c>
      <c r="AE285" s="449">
        <f t="shared" si="177"/>
        <v>0</v>
      </c>
      <c r="AF285" s="449">
        <f t="shared" si="177"/>
        <v>0</v>
      </c>
      <c r="AG285" s="449">
        <f t="shared" si="177"/>
        <v>0</v>
      </c>
      <c r="AH285" s="449">
        <f t="shared" si="177"/>
        <v>0</v>
      </c>
      <c r="AI285" s="449">
        <f t="shared" si="177"/>
        <v>0</v>
      </c>
      <c r="AJ285" s="449">
        <f t="shared" si="177"/>
        <v>0</v>
      </c>
      <c r="AK285" s="449">
        <f t="shared" si="177"/>
        <v>0</v>
      </c>
      <c r="AL285" s="449">
        <f t="shared" si="177"/>
        <v>0</v>
      </c>
      <c r="AM285" s="449">
        <f t="shared" si="177"/>
        <v>0</v>
      </c>
      <c r="AN285" s="449">
        <f t="shared" si="177"/>
        <v>0</v>
      </c>
      <c r="AO285" s="449">
        <f t="shared" si="177"/>
        <v>0</v>
      </c>
      <c r="AP285" s="449">
        <f t="shared" si="177"/>
        <v>0</v>
      </c>
      <c r="AQ285" s="449">
        <f t="shared" si="177"/>
        <v>0</v>
      </c>
      <c r="AR285" s="449">
        <f t="shared" si="177"/>
        <v>0</v>
      </c>
      <c r="AS285" s="449">
        <f t="shared" si="177"/>
        <v>0</v>
      </c>
      <c r="AT285" s="449">
        <f t="shared" si="177"/>
        <v>0</v>
      </c>
      <c r="AU285" s="449">
        <f t="shared" si="177"/>
        <v>0</v>
      </c>
      <c r="AV285" s="449">
        <f t="shared" si="177"/>
        <v>0</v>
      </c>
      <c r="AW285" s="449">
        <f t="shared" si="177"/>
        <v>0</v>
      </c>
      <c r="AX285" s="449">
        <f t="shared" si="177"/>
        <v>0</v>
      </c>
      <c r="AY285" s="449">
        <f t="shared" si="177"/>
        <v>0</v>
      </c>
      <c r="AZ285" s="449">
        <f t="shared" si="177"/>
        <v>0</v>
      </c>
      <c r="BA285" s="450">
        <f t="shared" si="177"/>
        <v>0</v>
      </c>
    </row>
    <row r="286" spans="1:53" s="246" customFormat="1" ht="24" outlineLevel="1">
      <c r="A286" s="244"/>
      <c r="B286" s="244"/>
      <c r="C286" s="65" t="s">
        <v>285</v>
      </c>
      <c r="D286" s="85"/>
      <c r="E286" s="109" t="s">
        <v>339</v>
      </c>
      <c r="F286" s="448" t="s">
        <v>27</v>
      </c>
      <c r="G286" s="449">
        <f t="shared" si="176"/>
        <v>0</v>
      </c>
      <c r="H286" s="449">
        <f t="shared" si="176"/>
        <v>0</v>
      </c>
      <c r="I286" s="449">
        <f t="shared" si="176"/>
        <v>0</v>
      </c>
      <c r="J286" s="449">
        <f t="shared" si="176"/>
        <v>0.80210000000000004</v>
      </c>
      <c r="K286" s="449">
        <f t="shared" si="176"/>
        <v>-0.50739999999999996</v>
      </c>
      <c r="L286" s="449">
        <f t="shared" si="176"/>
        <v>-1</v>
      </c>
      <c r="M286" s="449">
        <f>+IF(K82&lt;&gt;0,ROUND(M82/K82-1,4),0)</f>
        <v>-1</v>
      </c>
      <c r="N286" s="449">
        <f t="shared" si="177"/>
        <v>0</v>
      </c>
      <c r="O286" s="449">
        <f t="shared" si="177"/>
        <v>-1</v>
      </c>
      <c r="P286" s="449">
        <f t="shared" si="177"/>
        <v>0</v>
      </c>
      <c r="Q286" s="449">
        <f t="shared" si="177"/>
        <v>0</v>
      </c>
      <c r="R286" s="449">
        <f t="shared" si="177"/>
        <v>0</v>
      </c>
      <c r="S286" s="449">
        <f t="shared" si="177"/>
        <v>0</v>
      </c>
      <c r="T286" s="449">
        <f t="shared" si="177"/>
        <v>0</v>
      </c>
      <c r="U286" s="449">
        <f t="shared" si="177"/>
        <v>0</v>
      </c>
      <c r="V286" s="449">
        <f t="shared" si="177"/>
        <v>0</v>
      </c>
      <c r="W286" s="449">
        <f t="shared" si="177"/>
        <v>0</v>
      </c>
      <c r="X286" s="449">
        <f t="shared" si="177"/>
        <v>0</v>
      </c>
      <c r="Y286" s="449">
        <f t="shared" si="177"/>
        <v>0</v>
      </c>
      <c r="Z286" s="449">
        <f t="shared" si="177"/>
        <v>0</v>
      </c>
      <c r="AA286" s="449">
        <f t="shared" si="177"/>
        <v>0</v>
      </c>
      <c r="AB286" s="449">
        <f t="shared" si="177"/>
        <v>0</v>
      </c>
      <c r="AC286" s="449">
        <f t="shared" si="177"/>
        <v>0</v>
      </c>
      <c r="AD286" s="449">
        <f t="shared" si="177"/>
        <v>0</v>
      </c>
      <c r="AE286" s="449">
        <f t="shared" si="177"/>
        <v>0</v>
      </c>
      <c r="AF286" s="449">
        <f t="shared" si="177"/>
        <v>0</v>
      </c>
      <c r="AG286" s="449">
        <f t="shared" si="177"/>
        <v>0</v>
      </c>
      <c r="AH286" s="449">
        <f t="shared" si="177"/>
        <v>0</v>
      </c>
      <c r="AI286" s="449">
        <f t="shared" si="177"/>
        <v>0</v>
      </c>
      <c r="AJ286" s="449">
        <f t="shared" si="177"/>
        <v>0</v>
      </c>
      <c r="AK286" s="449">
        <f t="shared" si="177"/>
        <v>0</v>
      </c>
      <c r="AL286" s="449">
        <f t="shared" si="177"/>
        <v>0</v>
      </c>
      <c r="AM286" s="449">
        <f t="shared" si="177"/>
        <v>0</v>
      </c>
      <c r="AN286" s="449">
        <f t="shared" si="177"/>
        <v>0</v>
      </c>
      <c r="AO286" s="449">
        <f t="shared" si="177"/>
        <v>0</v>
      </c>
      <c r="AP286" s="449">
        <f t="shared" si="177"/>
        <v>0</v>
      </c>
      <c r="AQ286" s="449">
        <f t="shared" si="177"/>
        <v>0</v>
      </c>
      <c r="AR286" s="449">
        <f t="shared" si="177"/>
        <v>0</v>
      </c>
      <c r="AS286" s="449">
        <f t="shared" si="177"/>
        <v>0</v>
      </c>
      <c r="AT286" s="449">
        <f t="shared" si="177"/>
        <v>0</v>
      </c>
      <c r="AU286" s="449">
        <f t="shared" si="177"/>
        <v>0</v>
      </c>
      <c r="AV286" s="449">
        <f t="shared" si="177"/>
        <v>0</v>
      </c>
      <c r="AW286" s="449">
        <f t="shared" si="177"/>
        <v>0</v>
      </c>
      <c r="AX286" s="449">
        <f t="shared" si="177"/>
        <v>0</v>
      </c>
      <c r="AY286" s="449">
        <f t="shared" si="177"/>
        <v>0</v>
      </c>
      <c r="AZ286" s="449">
        <f t="shared" si="177"/>
        <v>0</v>
      </c>
      <c r="BA286" s="450">
        <f t="shared" si="177"/>
        <v>0</v>
      </c>
    </row>
    <row r="287" spans="1:53" s="246" customFormat="1" ht="24" outlineLevel="1">
      <c r="A287" s="244"/>
      <c r="B287" s="244"/>
      <c r="C287" s="65" t="s">
        <v>68</v>
      </c>
      <c r="D287" s="85"/>
      <c r="E287" s="447" t="s">
        <v>97</v>
      </c>
      <c r="F287" s="448" t="s">
        <v>27</v>
      </c>
      <c r="G287" s="449">
        <f t="shared" ref="G287:L288" si="178">+IF(F84&lt;&gt;0,ROUND(G84/F84-1,4),0)</f>
        <v>-0.54420000000000002</v>
      </c>
      <c r="H287" s="449">
        <f t="shared" si="178"/>
        <v>3.4998</v>
      </c>
      <c r="I287" s="449">
        <f t="shared" si="178"/>
        <v>0.41420000000000001</v>
      </c>
      <c r="J287" s="449">
        <f t="shared" si="178"/>
        <v>0.54320000000000002</v>
      </c>
      <c r="K287" s="449">
        <f t="shared" si="178"/>
        <v>-5.4199999999999998E-2</v>
      </c>
      <c r="L287" s="449">
        <f t="shared" si="178"/>
        <v>0.7843</v>
      </c>
      <c r="M287" s="449">
        <f>+IF(K84&lt;&gt;0,ROUND(M84/K84-1,4),0)</f>
        <v>-0.43859999999999999</v>
      </c>
      <c r="N287" s="449">
        <f t="shared" ref="N287:BA288" si="179">+IF(M84&lt;&gt;0,ROUND(N84/M84-1,4),0)</f>
        <v>3.0937000000000001</v>
      </c>
      <c r="O287" s="449">
        <f t="shared" si="179"/>
        <v>-0.81920000000000004</v>
      </c>
      <c r="P287" s="449">
        <f t="shared" si="179"/>
        <v>-1</v>
      </c>
      <c r="Q287" s="449">
        <f t="shared" si="179"/>
        <v>0</v>
      </c>
      <c r="R287" s="449">
        <f t="shared" si="179"/>
        <v>0</v>
      </c>
      <c r="S287" s="449">
        <f t="shared" si="179"/>
        <v>0</v>
      </c>
      <c r="T287" s="449">
        <f t="shared" si="179"/>
        <v>0</v>
      </c>
      <c r="U287" s="449">
        <f t="shared" si="179"/>
        <v>0</v>
      </c>
      <c r="V287" s="449">
        <f t="shared" si="179"/>
        <v>0</v>
      </c>
      <c r="W287" s="449">
        <f t="shared" si="179"/>
        <v>0</v>
      </c>
      <c r="X287" s="449">
        <f t="shared" si="179"/>
        <v>0</v>
      </c>
      <c r="Y287" s="449">
        <f t="shared" si="179"/>
        <v>0</v>
      </c>
      <c r="Z287" s="449">
        <f t="shared" si="179"/>
        <v>0</v>
      </c>
      <c r="AA287" s="449">
        <f t="shared" si="179"/>
        <v>0</v>
      </c>
      <c r="AB287" s="449">
        <f t="shared" si="179"/>
        <v>0</v>
      </c>
      <c r="AC287" s="449">
        <f t="shared" si="179"/>
        <v>0</v>
      </c>
      <c r="AD287" s="449">
        <f t="shared" si="179"/>
        <v>0</v>
      </c>
      <c r="AE287" s="449">
        <f t="shared" si="179"/>
        <v>0</v>
      </c>
      <c r="AF287" s="449">
        <f t="shared" si="179"/>
        <v>0</v>
      </c>
      <c r="AG287" s="449">
        <f t="shared" si="179"/>
        <v>0</v>
      </c>
      <c r="AH287" s="449">
        <f t="shared" si="179"/>
        <v>0</v>
      </c>
      <c r="AI287" s="449">
        <f t="shared" si="179"/>
        <v>0</v>
      </c>
      <c r="AJ287" s="449">
        <f t="shared" si="179"/>
        <v>0</v>
      </c>
      <c r="AK287" s="449">
        <f t="shared" si="179"/>
        <v>0</v>
      </c>
      <c r="AL287" s="449">
        <f t="shared" si="179"/>
        <v>0</v>
      </c>
      <c r="AM287" s="449">
        <f t="shared" si="179"/>
        <v>0</v>
      </c>
      <c r="AN287" s="449">
        <f t="shared" si="179"/>
        <v>0</v>
      </c>
      <c r="AO287" s="449">
        <f t="shared" si="179"/>
        <v>0</v>
      </c>
      <c r="AP287" s="449">
        <f t="shared" si="179"/>
        <v>0</v>
      </c>
      <c r="AQ287" s="449">
        <f t="shared" si="179"/>
        <v>0</v>
      </c>
      <c r="AR287" s="449">
        <f t="shared" si="179"/>
        <v>0</v>
      </c>
      <c r="AS287" s="449">
        <f t="shared" si="179"/>
        <v>0</v>
      </c>
      <c r="AT287" s="449">
        <f t="shared" si="179"/>
        <v>0</v>
      </c>
      <c r="AU287" s="449">
        <f t="shared" si="179"/>
        <v>0</v>
      </c>
      <c r="AV287" s="449">
        <f t="shared" si="179"/>
        <v>0</v>
      </c>
      <c r="AW287" s="449">
        <f t="shared" si="179"/>
        <v>0</v>
      </c>
      <c r="AX287" s="449">
        <f t="shared" si="179"/>
        <v>0</v>
      </c>
      <c r="AY287" s="449">
        <f t="shared" si="179"/>
        <v>0</v>
      </c>
      <c r="AZ287" s="449">
        <f t="shared" si="179"/>
        <v>0</v>
      </c>
      <c r="BA287" s="450">
        <f t="shared" si="179"/>
        <v>0</v>
      </c>
    </row>
    <row r="288" spans="1:53" s="246" customFormat="1" ht="24" outlineLevel="1">
      <c r="A288" s="244"/>
      <c r="B288" s="244"/>
      <c r="C288" s="65" t="s">
        <v>287</v>
      </c>
      <c r="D288" s="85"/>
      <c r="E288" s="109" t="s">
        <v>340</v>
      </c>
      <c r="F288" s="448" t="s">
        <v>27</v>
      </c>
      <c r="G288" s="449">
        <f t="shared" si="178"/>
        <v>-0.54420000000000002</v>
      </c>
      <c r="H288" s="449">
        <f t="shared" si="178"/>
        <v>3.4998</v>
      </c>
      <c r="I288" s="449">
        <f t="shared" si="178"/>
        <v>0.41420000000000001</v>
      </c>
      <c r="J288" s="449">
        <f t="shared" si="178"/>
        <v>0.54320000000000002</v>
      </c>
      <c r="K288" s="449">
        <f t="shared" si="178"/>
        <v>-5.4199999999999998E-2</v>
      </c>
      <c r="L288" s="449">
        <f t="shared" si="178"/>
        <v>0.7843</v>
      </c>
      <c r="M288" s="449">
        <f>+IF(K85&lt;&gt;0,ROUND(M85/K85-1,4),0)</f>
        <v>-0.43859999999999999</v>
      </c>
      <c r="N288" s="449">
        <f t="shared" si="179"/>
        <v>3.0937000000000001</v>
      </c>
      <c r="O288" s="449">
        <f t="shared" si="179"/>
        <v>-0.81920000000000004</v>
      </c>
      <c r="P288" s="449">
        <f t="shared" si="179"/>
        <v>-1</v>
      </c>
      <c r="Q288" s="449">
        <f t="shared" si="179"/>
        <v>0</v>
      </c>
      <c r="R288" s="449">
        <f t="shared" si="179"/>
        <v>0</v>
      </c>
      <c r="S288" s="449">
        <f t="shared" si="179"/>
        <v>0</v>
      </c>
      <c r="T288" s="449">
        <f t="shared" si="179"/>
        <v>0</v>
      </c>
      <c r="U288" s="449">
        <f t="shared" si="179"/>
        <v>0</v>
      </c>
      <c r="V288" s="449">
        <f t="shared" si="179"/>
        <v>0</v>
      </c>
      <c r="W288" s="449">
        <f t="shared" si="179"/>
        <v>0</v>
      </c>
      <c r="X288" s="449">
        <f t="shared" si="179"/>
        <v>0</v>
      </c>
      <c r="Y288" s="449">
        <f t="shared" si="179"/>
        <v>0</v>
      </c>
      <c r="Z288" s="449">
        <f t="shared" si="179"/>
        <v>0</v>
      </c>
      <c r="AA288" s="449">
        <f t="shared" si="179"/>
        <v>0</v>
      </c>
      <c r="AB288" s="449">
        <f t="shared" si="179"/>
        <v>0</v>
      </c>
      <c r="AC288" s="449">
        <f t="shared" si="179"/>
        <v>0</v>
      </c>
      <c r="AD288" s="449">
        <f t="shared" si="179"/>
        <v>0</v>
      </c>
      <c r="AE288" s="449">
        <f t="shared" si="179"/>
        <v>0</v>
      </c>
      <c r="AF288" s="449">
        <f t="shared" si="179"/>
        <v>0</v>
      </c>
      <c r="AG288" s="449">
        <f t="shared" si="179"/>
        <v>0</v>
      </c>
      <c r="AH288" s="449">
        <f t="shared" si="179"/>
        <v>0</v>
      </c>
      <c r="AI288" s="449">
        <f t="shared" si="179"/>
        <v>0</v>
      </c>
      <c r="AJ288" s="449">
        <f t="shared" si="179"/>
        <v>0</v>
      </c>
      <c r="AK288" s="449">
        <f t="shared" si="179"/>
        <v>0</v>
      </c>
      <c r="AL288" s="449">
        <f t="shared" si="179"/>
        <v>0</v>
      </c>
      <c r="AM288" s="449">
        <f t="shared" si="179"/>
        <v>0</v>
      </c>
      <c r="AN288" s="449">
        <f t="shared" si="179"/>
        <v>0</v>
      </c>
      <c r="AO288" s="449">
        <f t="shared" si="179"/>
        <v>0</v>
      </c>
      <c r="AP288" s="449">
        <f t="shared" si="179"/>
        <v>0</v>
      </c>
      <c r="AQ288" s="449">
        <f t="shared" si="179"/>
        <v>0</v>
      </c>
      <c r="AR288" s="449">
        <f t="shared" si="179"/>
        <v>0</v>
      </c>
      <c r="AS288" s="449">
        <f t="shared" si="179"/>
        <v>0</v>
      </c>
      <c r="AT288" s="449">
        <f t="shared" si="179"/>
        <v>0</v>
      </c>
      <c r="AU288" s="449">
        <f t="shared" si="179"/>
        <v>0</v>
      </c>
      <c r="AV288" s="449">
        <f t="shared" si="179"/>
        <v>0</v>
      </c>
      <c r="AW288" s="449">
        <f t="shared" si="179"/>
        <v>0</v>
      </c>
      <c r="AX288" s="449">
        <f t="shared" si="179"/>
        <v>0</v>
      </c>
      <c r="AY288" s="449">
        <f t="shared" si="179"/>
        <v>0</v>
      </c>
      <c r="AZ288" s="449">
        <f t="shared" si="179"/>
        <v>0</v>
      </c>
      <c r="BA288" s="450">
        <f t="shared" si="179"/>
        <v>0</v>
      </c>
    </row>
    <row r="289" spans="1:53" s="246" customFormat="1" ht="24" outlineLevel="1">
      <c r="A289" s="244"/>
      <c r="B289" s="244"/>
      <c r="C289" s="65" t="s">
        <v>69</v>
      </c>
      <c r="D289" s="85"/>
      <c r="E289" s="447" t="s">
        <v>98</v>
      </c>
      <c r="F289" s="448" t="s">
        <v>27</v>
      </c>
      <c r="G289" s="449">
        <f t="shared" ref="G289:L290" si="180">+IF(F87&lt;&gt;0,ROUND(G87/F87-1,4),0)</f>
        <v>0</v>
      </c>
      <c r="H289" s="449">
        <f t="shared" si="180"/>
        <v>0</v>
      </c>
      <c r="I289" s="449">
        <f t="shared" si="180"/>
        <v>12.5943</v>
      </c>
      <c r="J289" s="449">
        <f t="shared" si="180"/>
        <v>0.1343</v>
      </c>
      <c r="K289" s="449">
        <f t="shared" si="180"/>
        <v>-0.68500000000000005</v>
      </c>
      <c r="L289" s="449">
        <f t="shared" si="180"/>
        <v>-1</v>
      </c>
      <c r="M289" s="449">
        <f>+IF(K87&lt;&gt;0,ROUND(M87/K87-1,4),0)</f>
        <v>-1</v>
      </c>
      <c r="N289" s="449">
        <f t="shared" ref="N289:BA290" si="181">+IF(M87&lt;&gt;0,ROUND(N87/M87-1,4),0)</f>
        <v>0</v>
      </c>
      <c r="O289" s="449">
        <f t="shared" si="181"/>
        <v>0</v>
      </c>
      <c r="P289" s="449">
        <f t="shared" si="181"/>
        <v>-1</v>
      </c>
      <c r="Q289" s="449">
        <f t="shared" si="181"/>
        <v>0</v>
      </c>
      <c r="R289" s="449">
        <f t="shared" si="181"/>
        <v>0</v>
      </c>
      <c r="S289" s="449">
        <f t="shared" si="181"/>
        <v>0</v>
      </c>
      <c r="T289" s="449">
        <f t="shared" si="181"/>
        <v>0</v>
      </c>
      <c r="U289" s="449">
        <f t="shared" si="181"/>
        <v>0</v>
      </c>
      <c r="V289" s="449">
        <f t="shared" si="181"/>
        <v>0</v>
      </c>
      <c r="W289" s="449">
        <f t="shared" si="181"/>
        <v>0</v>
      </c>
      <c r="X289" s="449">
        <f t="shared" si="181"/>
        <v>0</v>
      </c>
      <c r="Y289" s="449">
        <f t="shared" si="181"/>
        <v>0</v>
      </c>
      <c r="Z289" s="449">
        <f t="shared" si="181"/>
        <v>0</v>
      </c>
      <c r="AA289" s="449">
        <f t="shared" si="181"/>
        <v>0</v>
      </c>
      <c r="AB289" s="449">
        <f t="shared" si="181"/>
        <v>0</v>
      </c>
      <c r="AC289" s="449">
        <f t="shared" si="181"/>
        <v>0</v>
      </c>
      <c r="AD289" s="449">
        <f t="shared" si="181"/>
        <v>0</v>
      </c>
      <c r="AE289" s="449">
        <f t="shared" si="181"/>
        <v>0</v>
      </c>
      <c r="AF289" s="449">
        <f t="shared" si="181"/>
        <v>0</v>
      </c>
      <c r="AG289" s="449">
        <f t="shared" si="181"/>
        <v>0</v>
      </c>
      <c r="AH289" s="449">
        <f t="shared" si="181"/>
        <v>0</v>
      </c>
      <c r="AI289" s="449">
        <f t="shared" si="181"/>
        <v>0</v>
      </c>
      <c r="AJ289" s="449">
        <f t="shared" si="181"/>
        <v>0</v>
      </c>
      <c r="AK289" s="449">
        <f t="shared" si="181"/>
        <v>0</v>
      </c>
      <c r="AL289" s="449">
        <f t="shared" si="181"/>
        <v>0</v>
      </c>
      <c r="AM289" s="449">
        <f t="shared" si="181"/>
        <v>0</v>
      </c>
      <c r="AN289" s="449">
        <f t="shared" si="181"/>
        <v>0</v>
      </c>
      <c r="AO289" s="449">
        <f t="shared" si="181"/>
        <v>0</v>
      </c>
      <c r="AP289" s="449">
        <f t="shared" si="181"/>
        <v>0</v>
      </c>
      <c r="AQ289" s="449">
        <f t="shared" si="181"/>
        <v>0</v>
      </c>
      <c r="AR289" s="449">
        <f t="shared" si="181"/>
        <v>0</v>
      </c>
      <c r="AS289" s="449">
        <f t="shared" si="181"/>
        <v>0</v>
      </c>
      <c r="AT289" s="449">
        <f t="shared" si="181"/>
        <v>0</v>
      </c>
      <c r="AU289" s="449">
        <f t="shared" si="181"/>
        <v>0</v>
      </c>
      <c r="AV289" s="449">
        <f t="shared" si="181"/>
        <v>0</v>
      </c>
      <c r="AW289" s="449">
        <f t="shared" si="181"/>
        <v>0</v>
      </c>
      <c r="AX289" s="449">
        <f t="shared" si="181"/>
        <v>0</v>
      </c>
      <c r="AY289" s="449">
        <f t="shared" si="181"/>
        <v>0</v>
      </c>
      <c r="AZ289" s="449">
        <f t="shared" si="181"/>
        <v>0</v>
      </c>
      <c r="BA289" s="450">
        <f t="shared" si="181"/>
        <v>0</v>
      </c>
    </row>
    <row r="290" spans="1:53" s="246" customFormat="1" ht="24" outlineLevel="1">
      <c r="A290" s="244"/>
      <c r="B290" s="244"/>
      <c r="C290" s="58" t="s">
        <v>289</v>
      </c>
      <c r="D290" s="87"/>
      <c r="E290" s="112" t="s">
        <v>342</v>
      </c>
      <c r="F290" s="455" t="s">
        <v>27</v>
      </c>
      <c r="G290" s="456">
        <f t="shared" si="180"/>
        <v>0</v>
      </c>
      <c r="H290" s="456">
        <f t="shared" si="180"/>
        <v>0</v>
      </c>
      <c r="I290" s="456">
        <f t="shared" si="180"/>
        <v>12.5943</v>
      </c>
      <c r="J290" s="456">
        <f t="shared" si="180"/>
        <v>0.1343</v>
      </c>
      <c r="K290" s="456">
        <f t="shared" si="180"/>
        <v>-0.68500000000000005</v>
      </c>
      <c r="L290" s="456">
        <f t="shared" si="180"/>
        <v>-1</v>
      </c>
      <c r="M290" s="456">
        <f>+IF(K88&lt;&gt;0,ROUND(M88/K88-1,4),0)</f>
        <v>-1</v>
      </c>
      <c r="N290" s="456">
        <f t="shared" si="181"/>
        <v>0</v>
      </c>
      <c r="O290" s="456">
        <f t="shared" si="181"/>
        <v>0</v>
      </c>
      <c r="P290" s="456">
        <f t="shared" si="181"/>
        <v>0</v>
      </c>
      <c r="Q290" s="456">
        <f t="shared" si="181"/>
        <v>0</v>
      </c>
      <c r="R290" s="456">
        <f t="shared" si="181"/>
        <v>0</v>
      </c>
      <c r="S290" s="456">
        <f t="shared" si="181"/>
        <v>0</v>
      </c>
      <c r="T290" s="456">
        <f t="shared" si="181"/>
        <v>0</v>
      </c>
      <c r="U290" s="456">
        <f t="shared" si="181"/>
        <v>0</v>
      </c>
      <c r="V290" s="456">
        <f t="shared" si="181"/>
        <v>0</v>
      </c>
      <c r="W290" s="456">
        <f t="shared" si="181"/>
        <v>0</v>
      </c>
      <c r="X290" s="456">
        <f t="shared" si="181"/>
        <v>0</v>
      </c>
      <c r="Y290" s="456">
        <f t="shared" si="181"/>
        <v>0</v>
      </c>
      <c r="Z290" s="456">
        <f t="shared" si="181"/>
        <v>0</v>
      </c>
      <c r="AA290" s="456">
        <f t="shared" si="181"/>
        <v>0</v>
      </c>
      <c r="AB290" s="456">
        <f t="shared" si="181"/>
        <v>0</v>
      </c>
      <c r="AC290" s="456">
        <f t="shared" si="181"/>
        <v>0</v>
      </c>
      <c r="AD290" s="456">
        <f t="shared" si="181"/>
        <v>0</v>
      </c>
      <c r="AE290" s="456">
        <f t="shared" si="181"/>
        <v>0</v>
      </c>
      <c r="AF290" s="456">
        <f t="shared" si="181"/>
        <v>0</v>
      </c>
      <c r="AG290" s="456">
        <f t="shared" si="181"/>
        <v>0</v>
      </c>
      <c r="AH290" s="456">
        <f t="shared" si="181"/>
        <v>0</v>
      </c>
      <c r="AI290" s="456">
        <f t="shared" si="181"/>
        <v>0</v>
      </c>
      <c r="AJ290" s="456">
        <f t="shared" si="181"/>
        <v>0</v>
      </c>
      <c r="AK290" s="456">
        <f t="shared" si="181"/>
        <v>0</v>
      </c>
      <c r="AL290" s="456">
        <f t="shared" si="181"/>
        <v>0</v>
      </c>
      <c r="AM290" s="456">
        <f t="shared" si="181"/>
        <v>0</v>
      </c>
      <c r="AN290" s="456">
        <f t="shared" si="181"/>
        <v>0</v>
      </c>
      <c r="AO290" s="456">
        <f t="shared" si="181"/>
        <v>0</v>
      </c>
      <c r="AP290" s="456">
        <f t="shared" si="181"/>
        <v>0</v>
      </c>
      <c r="AQ290" s="456">
        <f t="shared" si="181"/>
        <v>0</v>
      </c>
      <c r="AR290" s="456">
        <f t="shared" si="181"/>
        <v>0</v>
      </c>
      <c r="AS290" s="456">
        <f t="shared" si="181"/>
        <v>0</v>
      </c>
      <c r="AT290" s="456">
        <f t="shared" si="181"/>
        <v>0</v>
      </c>
      <c r="AU290" s="456">
        <f t="shared" si="181"/>
        <v>0</v>
      </c>
      <c r="AV290" s="456">
        <f t="shared" si="181"/>
        <v>0</v>
      </c>
      <c r="AW290" s="456">
        <f t="shared" si="181"/>
        <v>0</v>
      </c>
      <c r="AX290" s="456">
        <f t="shared" si="181"/>
        <v>0</v>
      </c>
      <c r="AY290" s="456">
        <f t="shared" si="181"/>
        <v>0</v>
      </c>
      <c r="AZ290" s="456">
        <f t="shared" si="181"/>
        <v>0</v>
      </c>
      <c r="BA290" s="457">
        <f t="shared" si="181"/>
        <v>0</v>
      </c>
    </row>
    <row r="291" spans="1:53" s="246" customFormat="1">
      <c r="A291" s="244"/>
      <c r="B291" s="24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</sheetData>
  <sheetProtection formatCells="0" formatColumns="0" formatRows="0" autoFilter="0"/>
  <autoFilter ref="C9:BA116" xr:uid="{00000000-0009-0000-0000-000006000000}"/>
  <mergeCells count="1">
    <mergeCell ref="J8:K8"/>
  </mergeCells>
  <conditionalFormatting sqref="N63:AO64 AZ63:BA64">
    <cfRule type="expression" dxfId="22" priority="43" stopIfTrue="1">
      <formula>LEFT(N63,3)="Nie"</formula>
    </cfRule>
  </conditionalFormatting>
  <conditionalFormatting sqref="N71:AO76 AZ71:BA76">
    <cfRule type="cellIs" dxfId="21" priority="39" stopIfTrue="1" operator="equal">
      <formula>"Nie spełniona"</formula>
    </cfRule>
  </conditionalFormatting>
  <conditionalFormatting sqref="N9:BA9">
    <cfRule type="cellIs" dxfId="20" priority="38" stopIfTrue="1" operator="lessThanOrEqual">
      <formula>$Q$1</formula>
    </cfRule>
  </conditionalFormatting>
  <conditionalFormatting sqref="AP63:AY64">
    <cfRule type="expression" dxfId="19" priority="31" stopIfTrue="1">
      <formula>LEFT(AP63,3)="Nie"</formula>
    </cfRule>
  </conditionalFormatting>
  <conditionalFormatting sqref="AP71:AY76">
    <cfRule type="cellIs" dxfId="18" priority="30" stopIfTrue="1" operator="equal">
      <formula>"Nie spełniona"</formula>
    </cfRule>
  </conditionalFormatting>
  <conditionalFormatting sqref="N127:BA128">
    <cfRule type="cellIs" dxfId="17" priority="15" stopIfTrue="1" operator="lessThan">
      <formula>$E$120</formula>
    </cfRule>
    <cfRule type="cellIs" dxfId="16" priority="16" stopIfTrue="1" operator="lessThan">
      <formula>$E$121</formula>
    </cfRule>
    <cfRule type="cellIs" dxfId="15" priority="17" stopIfTrue="1" operator="lessThan">
      <formula>$E$122</formula>
    </cfRule>
  </conditionalFormatting>
  <conditionalFormatting sqref="N123:BA124">
    <cfRule type="cellIs" dxfId="14" priority="12" stopIfTrue="1" operator="lessThan">
      <formula>$E$120</formula>
    </cfRule>
    <cfRule type="cellIs" dxfId="13" priority="13" stopIfTrue="1" operator="lessThan">
      <formula>$E$121</formula>
    </cfRule>
    <cfRule type="cellIs" dxfId="12" priority="14" stopIfTrue="1" operator="lessThan">
      <formula>$E$122</formula>
    </cfRule>
  </conditionalFormatting>
  <conditionalFormatting sqref="G266:BA290">
    <cfRule type="cellIs" dxfId="11" priority="9" stopIfTrue="1" operator="notBetween">
      <formula>-$E$265</formula>
      <formula>$E$265</formula>
    </cfRule>
    <cfRule type="cellIs" dxfId="10" priority="10" stopIfTrue="1" operator="notBetween">
      <formula>-$E$264</formula>
      <formula>$E$264</formula>
    </cfRule>
    <cfRule type="cellIs" dxfId="9" priority="11" stopIfTrue="1" operator="notBetween">
      <formula>-$E$263</formula>
      <formula>$E$263</formula>
    </cfRule>
  </conditionalFormatting>
  <conditionalFormatting sqref="N141:BA143">
    <cfRule type="containsText" dxfId="8" priority="8" stopIfTrue="1" operator="containsText" text="BŁĄD">
      <formula>NOT(ISERROR(SEARCH("BŁĄD",N141)))</formula>
    </cfRule>
  </conditionalFormatting>
  <conditionalFormatting sqref="N147:BA177">
    <cfRule type="containsText" dxfId="7" priority="7" stopIfTrue="1" operator="containsText" text="BŁĄD">
      <formula>NOT(ISERROR(SEARCH("BŁĄD",N147)))</formula>
    </cfRule>
  </conditionalFormatting>
  <conditionalFormatting sqref="N181:BA193">
    <cfRule type="containsText" dxfId="6" priority="6" stopIfTrue="1" operator="containsText" text="BŁĄD">
      <formula>NOT(ISERROR(SEARCH("BŁĄD",N181)))</formula>
    </cfRule>
  </conditionalFormatting>
  <conditionalFormatting sqref="N196:BA196">
    <cfRule type="cellIs" dxfId="5" priority="5" stopIfTrue="1" operator="lessThanOrEqual">
      <formula>$Q$1</formula>
    </cfRule>
  </conditionalFormatting>
  <conditionalFormatting sqref="N215:BA215">
    <cfRule type="cellIs" dxfId="4" priority="3" stopIfTrue="1" operator="lessThanOrEqual">
      <formula>$Q$1</formula>
    </cfRule>
  </conditionalFormatting>
  <conditionalFormatting sqref="N249:BA249">
    <cfRule type="cellIs" dxfId="3" priority="2" stopIfTrue="1" operator="lessThanOrEqual">
      <formula>$Q$1</formula>
    </cfRule>
  </conditionalFormatting>
  <conditionalFormatting sqref="N265:BA265">
    <cfRule type="cellIs" dxfId="2" priority="1" stopIfTrue="1" operator="lessThanOrEqual">
      <formula>$Q$1</formula>
    </cfRule>
  </conditionalFormatting>
  <dataValidations disablePrompts="1" count="1">
    <dataValidation type="whole" operator="greaterThanOrEqual" allowBlank="1" showInputMessage="1" showErrorMessage="1" error="Analiza musi obejmować przynajmniej 4 lata (do N+3)" sqref="Q1" xr:uid="{00000000-0002-0000-0600-000000000000}">
      <formula1>+RokBazowy+3</formula1>
    </dataValidation>
  </dataValidations>
  <printOptions horizontalCentered="1"/>
  <pageMargins left="0.39370078740157483" right="0.39370078740157483" top="0.19685039370078741" bottom="0.19685039370078741" header="0.11811023622047245" footer="0.11811023622047245"/>
  <pageSetup paperSize="9" scale="70" orientation="landscape" blackAndWhite="1" horizontalDpi="4294967293" verticalDpi="4294967293" r:id="rId1"/>
  <headerFooter>
    <oddFooter>&amp;L&amp;"Czcionka tekstu podstawowego,Pogrubiona kursywa"&amp;8WPF z uwzględnieniem działań PRL/PRI (przed zbilansowaniem)&amp;C&amp;8&amp;A&amp;R&amp;8Strona &amp;P z &amp;N</oddFooter>
  </headerFooter>
  <rowBreaks count="2" manualBreakCount="2">
    <brk id="56" min="9" max="52" man="1"/>
    <brk id="76" min="9" max="5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">
    <tabColor theme="8" tint="0.39997558519241921"/>
    <outlinePr summaryBelow="0" summaryRight="0"/>
  </sheetPr>
  <dimension ref="A1:AQ72"/>
  <sheetViews>
    <sheetView zoomScale="90" zoomScaleNormal="90" workbookViewId="0">
      <pane xSplit="5" ySplit="2" topLeftCell="F3" activePane="bottomRight" state="frozen"/>
      <selection activeCell="D82" sqref="D82"/>
      <selection pane="topRight" activeCell="D82" sqref="D82"/>
      <selection pane="bottomLeft" activeCell="D82" sqref="D82"/>
      <selection pane="bottomRight" activeCell="D1" sqref="D1"/>
    </sheetView>
  </sheetViews>
  <sheetFormatPr defaultColWidth="4.625" defaultRowHeight="13.5" outlineLevelRow="2" outlineLevelCol="3"/>
  <cols>
    <col min="1" max="1" width="2.5" style="258" customWidth="1" collapsed="1"/>
    <col min="2" max="2" width="3.25" style="269" hidden="1" customWidth="1" outlineLevel="1"/>
    <col min="3" max="3" width="5.375" style="255" hidden="1" customWidth="1" outlineLevel="1"/>
    <col min="4" max="4" width="55.75" style="255" customWidth="1"/>
    <col min="5" max="5" width="30.75" style="255" customWidth="1" collapsed="1"/>
    <col min="6" max="9" width="10.375" style="255" hidden="1" customWidth="1" outlineLevel="3"/>
    <col min="10" max="13" width="10.375" style="256" hidden="1" customWidth="1" outlineLevel="2"/>
    <col min="14" max="17" width="10.375" style="274" customWidth="1"/>
    <col min="18" max="43" width="10.375" style="274" customWidth="1" outlineLevel="1"/>
    <col min="44" max="16384" width="4.625" style="258"/>
  </cols>
  <sheetData>
    <row r="1" spans="2:43" ht="15.75">
      <c r="B1" s="257"/>
      <c r="C1" s="258"/>
      <c r="D1" s="540" t="s">
        <v>741</v>
      </c>
      <c r="E1" s="257"/>
      <c r="F1" s="257"/>
      <c r="G1" s="257"/>
      <c r="H1" s="257"/>
      <c r="I1" s="257"/>
      <c r="J1" s="257"/>
      <c r="K1" s="257"/>
      <c r="L1" s="259" t="s">
        <v>538</v>
      </c>
      <c r="M1" s="259" t="s">
        <v>539</v>
      </c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</row>
    <row r="2" spans="2:43">
      <c r="B2" s="260"/>
      <c r="C2" s="211" t="s">
        <v>469</v>
      </c>
      <c r="D2" s="260"/>
      <c r="E2" s="260" t="s">
        <v>690</v>
      </c>
      <c r="F2" s="260">
        <f t="shared" ref="F2:K2" si="0">+G2-1</f>
        <v>2015</v>
      </c>
      <c r="G2" s="260">
        <f t="shared" si="0"/>
        <v>2016</v>
      </c>
      <c r="H2" s="260">
        <f t="shared" si="0"/>
        <v>2017</v>
      </c>
      <c r="I2" s="260">
        <f t="shared" si="0"/>
        <v>2018</v>
      </c>
      <c r="J2" s="260">
        <f t="shared" si="0"/>
        <v>2019</v>
      </c>
      <c r="K2" s="260">
        <f t="shared" si="0"/>
        <v>2020</v>
      </c>
      <c r="L2" s="260">
        <f>+M2</f>
        <v>2021</v>
      </c>
      <c r="M2" s="260">
        <f>+N2-1</f>
        <v>2021</v>
      </c>
      <c r="N2" s="211">
        <f>+RokBazowy</f>
        <v>2022</v>
      </c>
      <c r="O2" s="211">
        <f>+N2+1</f>
        <v>2023</v>
      </c>
      <c r="P2" s="211">
        <f t="shared" ref="P2:AG2" si="1">+O2+1</f>
        <v>2024</v>
      </c>
      <c r="Q2" s="211">
        <f t="shared" si="1"/>
        <v>2025</v>
      </c>
      <c r="R2" s="211">
        <f t="shared" si="1"/>
        <v>2026</v>
      </c>
      <c r="S2" s="211">
        <f t="shared" si="1"/>
        <v>2027</v>
      </c>
      <c r="T2" s="211">
        <f t="shared" si="1"/>
        <v>2028</v>
      </c>
      <c r="U2" s="211">
        <f t="shared" si="1"/>
        <v>2029</v>
      </c>
      <c r="V2" s="211">
        <f t="shared" si="1"/>
        <v>2030</v>
      </c>
      <c r="W2" s="211">
        <f t="shared" si="1"/>
        <v>2031</v>
      </c>
      <c r="X2" s="211">
        <f t="shared" si="1"/>
        <v>2032</v>
      </c>
      <c r="Y2" s="211">
        <f t="shared" si="1"/>
        <v>2033</v>
      </c>
      <c r="Z2" s="211">
        <f t="shared" si="1"/>
        <v>2034</v>
      </c>
      <c r="AA2" s="211">
        <f t="shared" si="1"/>
        <v>2035</v>
      </c>
      <c r="AB2" s="211">
        <f t="shared" si="1"/>
        <v>2036</v>
      </c>
      <c r="AC2" s="211">
        <f t="shared" si="1"/>
        <v>2037</v>
      </c>
      <c r="AD2" s="211">
        <f t="shared" si="1"/>
        <v>2038</v>
      </c>
      <c r="AE2" s="211">
        <f t="shared" si="1"/>
        <v>2039</v>
      </c>
      <c r="AF2" s="211">
        <f t="shared" si="1"/>
        <v>2040</v>
      </c>
      <c r="AG2" s="211">
        <f t="shared" si="1"/>
        <v>2041</v>
      </c>
      <c r="AH2" s="211">
        <f t="shared" ref="AH2:AQ2" si="2">+AG2+1</f>
        <v>2042</v>
      </c>
      <c r="AI2" s="211">
        <f t="shared" si="2"/>
        <v>2043</v>
      </c>
      <c r="AJ2" s="211">
        <f t="shared" si="2"/>
        <v>2044</v>
      </c>
      <c r="AK2" s="211">
        <f t="shared" si="2"/>
        <v>2045</v>
      </c>
      <c r="AL2" s="211">
        <f t="shared" si="2"/>
        <v>2046</v>
      </c>
      <c r="AM2" s="211">
        <f t="shared" si="2"/>
        <v>2047</v>
      </c>
      <c r="AN2" s="211">
        <f t="shared" si="2"/>
        <v>2048</v>
      </c>
      <c r="AO2" s="211">
        <f t="shared" si="2"/>
        <v>2049</v>
      </c>
      <c r="AP2" s="211">
        <f t="shared" si="2"/>
        <v>2050</v>
      </c>
      <c r="AQ2" s="211">
        <f t="shared" si="2"/>
        <v>2051</v>
      </c>
    </row>
    <row r="3" spans="2:43" ht="15.75">
      <c r="B3" s="257"/>
      <c r="C3" s="258"/>
      <c r="D3" s="257" t="s">
        <v>699</v>
      </c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2:43" outlineLevel="1">
      <c r="B4" s="261"/>
      <c r="C4" s="262"/>
      <c r="D4" s="261" t="s">
        <v>472</v>
      </c>
      <c r="E4" s="261"/>
      <c r="F4" s="284">
        <f>+SUM(F5:F11)</f>
        <v>0</v>
      </c>
      <c r="G4" s="284">
        <f>+SUM(G5:G11)</f>
        <v>0</v>
      </c>
      <c r="H4" s="284">
        <f>+SUM(H5:H11)</f>
        <v>0</v>
      </c>
      <c r="I4" s="284">
        <f>+SUM(I5:I11)</f>
        <v>0</v>
      </c>
      <c r="J4" s="284">
        <f t="shared" ref="J4:AQ4" si="3">+SUM(J5:J11)</f>
        <v>0</v>
      </c>
      <c r="K4" s="284">
        <f t="shared" si="3"/>
        <v>0</v>
      </c>
      <c r="L4" s="284">
        <f t="shared" si="3"/>
        <v>0</v>
      </c>
      <c r="M4" s="284">
        <f t="shared" si="3"/>
        <v>0</v>
      </c>
      <c r="N4" s="284">
        <f t="shared" si="3"/>
        <v>0</v>
      </c>
      <c r="O4" s="284">
        <f t="shared" si="3"/>
        <v>0</v>
      </c>
      <c r="P4" s="284">
        <f t="shared" si="3"/>
        <v>0</v>
      </c>
      <c r="Q4" s="284">
        <f t="shared" si="3"/>
        <v>0</v>
      </c>
      <c r="R4" s="284">
        <f t="shared" si="3"/>
        <v>0</v>
      </c>
      <c r="S4" s="284">
        <f t="shared" si="3"/>
        <v>0</v>
      </c>
      <c r="T4" s="284">
        <f t="shared" si="3"/>
        <v>0</v>
      </c>
      <c r="U4" s="284">
        <f t="shared" si="3"/>
        <v>0</v>
      </c>
      <c r="V4" s="284">
        <f t="shared" si="3"/>
        <v>0</v>
      </c>
      <c r="W4" s="284">
        <f t="shared" si="3"/>
        <v>0</v>
      </c>
      <c r="X4" s="284">
        <f t="shared" si="3"/>
        <v>0</v>
      </c>
      <c r="Y4" s="284">
        <f t="shared" si="3"/>
        <v>0</v>
      </c>
      <c r="Z4" s="284">
        <f t="shared" si="3"/>
        <v>0</v>
      </c>
      <c r="AA4" s="284">
        <f t="shared" si="3"/>
        <v>0</v>
      </c>
      <c r="AB4" s="284">
        <f t="shared" si="3"/>
        <v>0</v>
      </c>
      <c r="AC4" s="284">
        <f t="shared" si="3"/>
        <v>0</v>
      </c>
      <c r="AD4" s="284">
        <f t="shared" si="3"/>
        <v>0</v>
      </c>
      <c r="AE4" s="284">
        <f t="shared" si="3"/>
        <v>0</v>
      </c>
      <c r="AF4" s="284">
        <f t="shared" si="3"/>
        <v>0</v>
      </c>
      <c r="AG4" s="284">
        <f t="shared" si="3"/>
        <v>0</v>
      </c>
      <c r="AH4" s="284">
        <f t="shared" si="3"/>
        <v>0</v>
      </c>
      <c r="AI4" s="284">
        <f t="shared" si="3"/>
        <v>0</v>
      </c>
      <c r="AJ4" s="284">
        <f t="shared" si="3"/>
        <v>0</v>
      </c>
      <c r="AK4" s="284">
        <f t="shared" si="3"/>
        <v>0</v>
      </c>
      <c r="AL4" s="284">
        <f t="shared" si="3"/>
        <v>0</v>
      </c>
      <c r="AM4" s="284">
        <f t="shared" si="3"/>
        <v>0</v>
      </c>
      <c r="AN4" s="284">
        <f t="shared" si="3"/>
        <v>0</v>
      </c>
      <c r="AO4" s="284">
        <f t="shared" si="3"/>
        <v>0</v>
      </c>
      <c r="AP4" s="284">
        <f t="shared" si="3"/>
        <v>0</v>
      </c>
      <c r="AQ4" s="284">
        <f t="shared" si="3"/>
        <v>0</v>
      </c>
    </row>
    <row r="5" spans="2:43" outlineLevel="2">
      <c r="B5" s="264"/>
      <c r="C5" s="262"/>
      <c r="D5" s="276" t="s">
        <v>485</v>
      </c>
      <c r="E5" s="483" t="s">
        <v>477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2:43" outlineLevel="2">
      <c r="B6" s="264"/>
      <c r="C6" s="262"/>
      <c r="D6" s="276" t="s">
        <v>486</v>
      </c>
      <c r="E6" s="478" t="s">
        <v>478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2:43" outlineLevel="2">
      <c r="B7" s="264"/>
      <c r="C7" s="262"/>
      <c r="D7" s="276" t="s">
        <v>682</v>
      </c>
      <c r="E7" s="478" t="s">
        <v>671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</row>
    <row r="8" spans="2:43" outlineLevel="2">
      <c r="B8" s="264"/>
      <c r="C8" s="262"/>
      <c r="D8" s="276" t="s">
        <v>487</v>
      </c>
      <c r="E8" s="478" t="s">
        <v>535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</row>
    <row r="9" spans="2:43" outlineLevel="2">
      <c r="B9" s="264"/>
      <c r="C9" s="262"/>
      <c r="D9" s="276" t="s">
        <v>681</v>
      </c>
      <c r="E9" s="478" t="s">
        <v>683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</row>
    <row r="10" spans="2:43" outlineLevel="2">
      <c r="B10" s="264"/>
      <c r="C10" s="262"/>
      <c r="D10" s="276" t="s">
        <v>676</v>
      </c>
      <c r="E10" s="478" t="s">
        <v>678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</row>
    <row r="11" spans="2:43" outlineLevel="2">
      <c r="B11" s="264"/>
      <c r="C11" s="262"/>
      <c r="D11" s="276" t="s">
        <v>488</v>
      </c>
      <c r="E11" s="478" t="s">
        <v>708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</row>
    <row r="12" spans="2:43" outlineLevel="1">
      <c r="B12" s="261"/>
      <c r="C12" s="262"/>
      <c r="D12" s="261" t="s">
        <v>476</v>
      </c>
      <c r="E12" s="479"/>
      <c r="F12" s="284">
        <f>+SUM(F13:F17)</f>
        <v>0</v>
      </c>
      <c r="G12" s="284">
        <f>+SUM(G13:G17)</f>
        <v>0</v>
      </c>
      <c r="H12" s="284">
        <f>+SUM(H13:H17)</f>
        <v>0</v>
      </c>
      <c r="I12" s="284">
        <f>+SUM(I13:I17)</f>
        <v>0</v>
      </c>
      <c r="J12" s="284">
        <f t="shared" ref="J12:AQ12" si="4">+SUM(J13:J17)</f>
        <v>0</v>
      </c>
      <c r="K12" s="284">
        <f t="shared" si="4"/>
        <v>0</v>
      </c>
      <c r="L12" s="284">
        <f t="shared" si="4"/>
        <v>0</v>
      </c>
      <c r="M12" s="284">
        <f t="shared" si="4"/>
        <v>0</v>
      </c>
      <c r="N12" s="284">
        <f t="shared" si="4"/>
        <v>0</v>
      </c>
      <c r="O12" s="284">
        <f t="shared" si="4"/>
        <v>0</v>
      </c>
      <c r="P12" s="284">
        <f t="shared" si="4"/>
        <v>0</v>
      </c>
      <c r="Q12" s="284">
        <f t="shared" si="4"/>
        <v>0</v>
      </c>
      <c r="R12" s="284">
        <f t="shared" si="4"/>
        <v>0</v>
      </c>
      <c r="S12" s="284">
        <f t="shared" si="4"/>
        <v>0</v>
      </c>
      <c r="T12" s="284">
        <f t="shared" si="4"/>
        <v>0</v>
      </c>
      <c r="U12" s="284">
        <f t="shared" si="4"/>
        <v>0</v>
      </c>
      <c r="V12" s="284">
        <f t="shared" si="4"/>
        <v>0</v>
      </c>
      <c r="W12" s="284">
        <f t="shared" si="4"/>
        <v>0</v>
      </c>
      <c r="X12" s="284">
        <f t="shared" si="4"/>
        <v>0</v>
      </c>
      <c r="Y12" s="284">
        <f t="shared" si="4"/>
        <v>0</v>
      </c>
      <c r="Z12" s="284">
        <f t="shared" si="4"/>
        <v>0</v>
      </c>
      <c r="AA12" s="284">
        <f t="shared" si="4"/>
        <v>0</v>
      </c>
      <c r="AB12" s="284">
        <f t="shared" si="4"/>
        <v>0</v>
      </c>
      <c r="AC12" s="284">
        <f t="shared" si="4"/>
        <v>0</v>
      </c>
      <c r="AD12" s="284">
        <f t="shared" si="4"/>
        <v>0</v>
      </c>
      <c r="AE12" s="284">
        <f t="shared" si="4"/>
        <v>0</v>
      </c>
      <c r="AF12" s="284">
        <f t="shared" si="4"/>
        <v>0</v>
      </c>
      <c r="AG12" s="284">
        <f t="shared" si="4"/>
        <v>0</v>
      </c>
      <c r="AH12" s="284">
        <f t="shared" si="4"/>
        <v>0</v>
      </c>
      <c r="AI12" s="284">
        <f t="shared" si="4"/>
        <v>0</v>
      </c>
      <c r="AJ12" s="284">
        <f t="shared" si="4"/>
        <v>0</v>
      </c>
      <c r="AK12" s="284">
        <f t="shared" si="4"/>
        <v>0</v>
      </c>
      <c r="AL12" s="284">
        <f t="shared" si="4"/>
        <v>0</v>
      </c>
      <c r="AM12" s="284">
        <f t="shared" si="4"/>
        <v>0</v>
      </c>
      <c r="AN12" s="284">
        <f t="shared" si="4"/>
        <v>0</v>
      </c>
      <c r="AO12" s="284">
        <f t="shared" si="4"/>
        <v>0</v>
      </c>
      <c r="AP12" s="284">
        <f t="shared" si="4"/>
        <v>0</v>
      </c>
      <c r="AQ12" s="284">
        <f t="shared" si="4"/>
        <v>0</v>
      </c>
    </row>
    <row r="13" spans="2:43" outlineLevel="2">
      <c r="B13" s="264"/>
      <c r="C13" s="262"/>
      <c r="D13" s="276" t="s">
        <v>685</v>
      </c>
      <c r="E13" s="478" t="s">
        <v>484</v>
      </c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</row>
    <row r="14" spans="2:43" outlineLevel="2">
      <c r="B14" s="264"/>
      <c r="C14" s="262"/>
      <c r="D14" s="276" t="s">
        <v>489</v>
      </c>
      <c r="E14" s="478" t="s">
        <v>672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</row>
    <row r="15" spans="2:43" ht="27" outlineLevel="2">
      <c r="B15" s="264"/>
      <c r="C15" s="262"/>
      <c r="D15" s="304" t="s">
        <v>705</v>
      </c>
      <c r="E15" s="480" t="s">
        <v>572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</row>
    <row r="16" spans="2:43" outlineLevel="2">
      <c r="B16" s="264"/>
      <c r="C16" s="262"/>
      <c r="D16" s="276" t="s">
        <v>684</v>
      </c>
      <c r="E16" s="478" t="s">
        <v>680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</row>
    <row r="17" spans="2:43" outlineLevel="2">
      <c r="B17" s="264"/>
      <c r="C17" s="262"/>
      <c r="D17" s="276" t="s">
        <v>677</v>
      </c>
      <c r="E17" s="478" t="s">
        <v>679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</row>
    <row r="18" spans="2:43" outlineLevel="1">
      <c r="B18" s="261"/>
      <c r="C18" s="262"/>
      <c r="D18" s="261" t="s">
        <v>473</v>
      </c>
      <c r="E18" s="481"/>
      <c r="F18" s="284">
        <f t="shared" ref="F18:N18" si="5">+SUM(F19:F23)</f>
        <v>0</v>
      </c>
      <c r="G18" s="284">
        <f t="shared" si="5"/>
        <v>0</v>
      </c>
      <c r="H18" s="284">
        <f t="shared" si="5"/>
        <v>0</v>
      </c>
      <c r="I18" s="284">
        <f t="shared" si="5"/>
        <v>0</v>
      </c>
      <c r="J18" s="284">
        <f t="shared" si="5"/>
        <v>0</v>
      </c>
      <c r="K18" s="284">
        <f t="shared" si="5"/>
        <v>0</v>
      </c>
      <c r="L18" s="284">
        <f t="shared" si="5"/>
        <v>0</v>
      </c>
      <c r="M18" s="284">
        <f t="shared" si="5"/>
        <v>0</v>
      </c>
      <c r="N18" s="284">
        <f t="shared" si="5"/>
        <v>0</v>
      </c>
      <c r="O18" s="284">
        <f t="shared" ref="O18:AG18" si="6">+SUM(O19:O23)</f>
        <v>0</v>
      </c>
      <c r="P18" s="284">
        <f t="shared" si="6"/>
        <v>0</v>
      </c>
      <c r="Q18" s="284">
        <f t="shared" si="6"/>
        <v>0</v>
      </c>
      <c r="R18" s="284">
        <f t="shared" si="6"/>
        <v>0</v>
      </c>
      <c r="S18" s="284">
        <f t="shared" si="6"/>
        <v>0</v>
      </c>
      <c r="T18" s="284">
        <f t="shared" si="6"/>
        <v>0</v>
      </c>
      <c r="U18" s="284">
        <f t="shared" si="6"/>
        <v>0</v>
      </c>
      <c r="V18" s="284">
        <f t="shared" si="6"/>
        <v>0</v>
      </c>
      <c r="W18" s="284">
        <f t="shared" si="6"/>
        <v>0</v>
      </c>
      <c r="X18" s="284">
        <f t="shared" si="6"/>
        <v>0</v>
      </c>
      <c r="Y18" s="284">
        <f t="shared" si="6"/>
        <v>0</v>
      </c>
      <c r="Z18" s="284">
        <f t="shared" si="6"/>
        <v>0</v>
      </c>
      <c r="AA18" s="284">
        <f t="shared" si="6"/>
        <v>0</v>
      </c>
      <c r="AB18" s="284">
        <f t="shared" si="6"/>
        <v>0</v>
      </c>
      <c r="AC18" s="284">
        <f t="shared" si="6"/>
        <v>0</v>
      </c>
      <c r="AD18" s="284">
        <f t="shared" si="6"/>
        <v>0</v>
      </c>
      <c r="AE18" s="284">
        <f t="shared" si="6"/>
        <v>0</v>
      </c>
      <c r="AF18" s="284">
        <f t="shared" si="6"/>
        <v>0</v>
      </c>
      <c r="AG18" s="284">
        <f t="shared" si="6"/>
        <v>0</v>
      </c>
      <c r="AH18" s="284">
        <f t="shared" ref="AH18:AQ18" si="7">+SUM(AH19:AH23)</f>
        <v>0</v>
      </c>
      <c r="AI18" s="284">
        <f t="shared" si="7"/>
        <v>0</v>
      </c>
      <c r="AJ18" s="284">
        <f t="shared" si="7"/>
        <v>0</v>
      </c>
      <c r="AK18" s="284">
        <f t="shared" si="7"/>
        <v>0</v>
      </c>
      <c r="AL18" s="284">
        <f t="shared" si="7"/>
        <v>0</v>
      </c>
      <c r="AM18" s="284">
        <f t="shared" si="7"/>
        <v>0</v>
      </c>
      <c r="AN18" s="284">
        <f t="shared" si="7"/>
        <v>0</v>
      </c>
      <c r="AO18" s="284">
        <f t="shared" si="7"/>
        <v>0</v>
      </c>
      <c r="AP18" s="284">
        <f t="shared" si="7"/>
        <v>0</v>
      </c>
      <c r="AQ18" s="284">
        <f t="shared" si="7"/>
        <v>0</v>
      </c>
    </row>
    <row r="19" spans="2:43" outlineLevel="2">
      <c r="B19" s="264"/>
      <c r="C19" s="262"/>
      <c r="D19" s="276" t="s">
        <v>492</v>
      </c>
      <c r="E19" s="478" t="s">
        <v>479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</row>
    <row r="20" spans="2:43" outlineLevel="2">
      <c r="B20" s="264"/>
      <c r="C20" s="262"/>
      <c r="D20" s="276" t="s">
        <v>493</v>
      </c>
      <c r="E20" s="478" t="s">
        <v>480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</row>
    <row r="21" spans="2:43" outlineLevel="2">
      <c r="B21" s="264"/>
      <c r="C21" s="262"/>
      <c r="D21" s="276" t="s">
        <v>494</v>
      </c>
      <c r="E21" s="478" t="s">
        <v>481</v>
      </c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</row>
    <row r="22" spans="2:43" outlineLevel="2">
      <c r="B22" s="264"/>
      <c r="C22" s="262"/>
      <c r="D22" s="276" t="s">
        <v>495</v>
      </c>
      <c r="E22" s="478" t="s">
        <v>482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</row>
    <row r="23" spans="2:43" outlineLevel="2">
      <c r="B23" s="264"/>
      <c r="C23" s="262"/>
      <c r="D23" s="276" t="s">
        <v>496</v>
      </c>
      <c r="E23" s="478" t="s">
        <v>483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</row>
    <row r="24" spans="2:43" outlineLevel="1">
      <c r="B24" s="261"/>
      <c r="C24" s="262"/>
      <c r="D24" s="261" t="s">
        <v>474</v>
      </c>
      <c r="E24" s="478"/>
      <c r="F24" s="284">
        <f t="shared" ref="F24:N24" si="8">+F25+F30</f>
        <v>0</v>
      </c>
      <c r="G24" s="284">
        <f t="shared" si="8"/>
        <v>0</v>
      </c>
      <c r="H24" s="284">
        <f t="shared" si="8"/>
        <v>0</v>
      </c>
      <c r="I24" s="284">
        <f t="shared" si="8"/>
        <v>0</v>
      </c>
      <c r="J24" s="284">
        <f t="shared" si="8"/>
        <v>0</v>
      </c>
      <c r="K24" s="284">
        <f t="shared" si="8"/>
        <v>0</v>
      </c>
      <c r="L24" s="284">
        <f t="shared" si="8"/>
        <v>0</v>
      </c>
      <c r="M24" s="284">
        <f t="shared" si="8"/>
        <v>0</v>
      </c>
      <c r="N24" s="284">
        <f t="shared" si="8"/>
        <v>0</v>
      </c>
      <c r="O24" s="284">
        <f t="shared" ref="O24:AG24" si="9">+O25+O30</f>
        <v>0</v>
      </c>
      <c r="P24" s="284">
        <f t="shared" si="9"/>
        <v>0</v>
      </c>
      <c r="Q24" s="284">
        <f t="shared" si="9"/>
        <v>0</v>
      </c>
      <c r="R24" s="284">
        <f t="shared" si="9"/>
        <v>0</v>
      </c>
      <c r="S24" s="284">
        <f t="shared" si="9"/>
        <v>0</v>
      </c>
      <c r="T24" s="284">
        <f t="shared" si="9"/>
        <v>0</v>
      </c>
      <c r="U24" s="284">
        <f t="shared" si="9"/>
        <v>0</v>
      </c>
      <c r="V24" s="284">
        <f t="shared" si="9"/>
        <v>0</v>
      </c>
      <c r="W24" s="284">
        <f t="shared" si="9"/>
        <v>0</v>
      </c>
      <c r="X24" s="284">
        <f t="shared" si="9"/>
        <v>0</v>
      </c>
      <c r="Y24" s="284">
        <f t="shared" si="9"/>
        <v>0</v>
      </c>
      <c r="Z24" s="284">
        <f t="shared" si="9"/>
        <v>0</v>
      </c>
      <c r="AA24" s="284">
        <f t="shared" si="9"/>
        <v>0</v>
      </c>
      <c r="AB24" s="284">
        <f t="shared" si="9"/>
        <v>0</v>
      </c>
      <c r="AC24" s="284">
        <f t="shared" si="9"/>
        <v>0</v>
      </c>
      <c r="AD24" s="284">
        <f t="shared" si="9"/>
        <v>0</v>
      </c>
      <c r="AE24" s="284">
        <f t="shared" si="9"/>
        <v>0</v>
      </c>
      <c r="AF24" s="284">
        <f t="shared" si="9"/>
        <v>0</v>
      </c>
      <c r="AG24" s="284">
        <f t="shared" si="9"/>
        <v>0</v>
      </c>
      <c r="AH24" s="284">
        <f t="shared" ref="AH24:AQ24" si="10">+AH25+AH30</f>
        <v>0</v>
      </c>
      <c r="AI24" s="284">
        <f t="shared" si="10"/>
        <v>0</v>
      </c>
      <c r="AJ24" s="284">
        <f t="shared" si="10"/>
        <v>0</v>
      </c>
      <c r="AK24" s="284">
        <f t="shared" si="10"/>
        <v>0</v>
      </c>
      <c r="AL24" s="284">
        <f t="shared" si="10"/>
        <v>0</v>
      </c>
      <c r="AM24" s="284">
        <f t="shared" si="10"/>
        <v>0</v>
      </c>
      <c r="AN24" s="284">
        <f t="shared" si="10"/>
        <v>0</v>
      </c>
      <c r="AO24" s="284">
        <f t="shared" si="10"/>
        <v>0</v>
      </c>
      <c r="AP24" s="284">
        <f t="shared" si="10"/>
        <v>0</v>
      </c>
      <c r="AQ24" s="284">
        <f t="shared" si="10"/>
        <v>0</v>
      </c>
    </row>
    <row r="25" spans="2:43" outlineLevel="2">
      <c r="B25" s="266"/>
      <c r="C25" s="262"/>
      <c r="D25" s="277" t="s">
        <v>497</v>
      </c>
      <c r="E25" s="478" t="s">
        <v>498</v>
      </c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</row>
    <row r="26" spans="2:43" outlineLevel="2">
      <c r="B26" s="267"/>
      <c r="C26" s="262"/>
      <c r="D26" s="278" t="s">
        <v>503</v>
      </c>
      <c r="E26" s="478" t="s">
        <v>499</v>
      </c>
      <c r="F26" s="265"/>
      <c r="G26" s="265"/>
      <c r="H26" s="265"/>
      <c r="I26" s="265"/>
      <c r="J26" s="265"/>
      <c r="K26" s="265"/>
      <c r="L26" s="265"/>
      <c r="M26" s="265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</row>
    <row r="27" spans="2:43" outlineLevel="2">
      <c r="B27" s="267"/>
      <c r="C27" s="262"/>
      <c r="D27" s="278" t="s">
        <v>504</v>
      </c>
      <c r="E27" s="478" t="s">
        <v>500</v>
      </c>
      <c r="F27" s="265"/>
      <c r="G27" s="265"/>
      <c r="H27" s="265"/>
      <c r="I27" s="265"/>
      <c r="J27" s="265"/>
      <c r="K27" s="265"/>
      <c r="L27" s="265"/>
      <c r="M27" s="265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</row>
    <row r="28" spans="2:43" outlineLevel="2">
      <c r="B28" s="267"/>
      <c r="C28" s="262"/>
      <c r="D28" s="278" t="s">
        <v>502</v>
      </c>
      <c r="E28" s="478" t="s">
        <v>501</v>
      </c>
      <c r="F28" s="265"/>
      <c r="G28" s="265"/>
      <c r="H28" s="265"/>
      <c r="I28" s="265"/>
      <c r="J28" s="265"/>
      <c r="K28" s="265"/>
      <c r="L28" s="265"/>
      <c r="M28" s="265"/>
      <c r="N28" s="212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</row>
    <row r="29" spans="2:43" outlineLevel="2">
      <c r="B29" s="267"/>
      <c r="C29" s="262"/>
      <c r="D29" s="303" t="s">
        <v>571</v>
      </c>
      <c r="E29" s="480" t="s">
        <v>686</v>
      </c>
      <c r="F29" s="265"/>
      <c r="G29" s="265"/>
      <c r="H29" s="265"/>
      <c r="I29" s="265"/>
      <c r="J29" s="265"/>
      <c r="K29" s="265"/>
      <c r="L29" s="265"/>
      <c r="M29" s="265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</row>
    <row r="30" spans="2:43" outlineLevel="2">
      <c r="B30" s="266"/>
      <c r="C30" s="262"/>
      <c r="D30" s="277" t="s">
        <v>505</v>
      </c>
      <c r="E30" s="478" t="s">
        <v>506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</row>
    <row r="31" spans="2:43" outlineLevel="1">
      <c r="B31" s="261"/>
      <c r="C31" s="262"/>
      <c r="D31" s="261" t="s">
        <v>475</v>
      </c>
      <c r="E31" s="478"/>
      <c r="F31" s="284">
        <f t="shared" ref="F31:N31" si="11">+F32+F36</f>
        <v>0</v>
      </c>
      <c r="G31" s="284">
        <f t="shared" si="11"/>
        <v>0</v>
      </c>
      <c r="H31" s="284">
        <f t="shared" si="11"/>
        <v>0</v>
      </c>
      <c r="I31" s="284">
        <f t="shared" si="11"/>
        <v>0</v>
      </c>
      <c r="J31" s="284">
        <f t="shared" si="11"/>
        <v>0</v>
      </c>
      <c r="K31" s="284">
        <f t="shared" si="11"/>
        <v>0</v>
      </c>
      <c r="L31" s="284">
        <f t="shared" si="11"/>
        <v>0</v>
      </c>
      <c r="M31" s="284">
        <f t="shared" si="11"/>
        <v>0</v>
      </c>
      <c r="N31" s="284">
        <f t="shared" si="11"/>
        <v>0</v>
      </c>
      <c r="O31" s="284">
        <f t="shared" ref="O31:AG31" si="12">+O32+O36</f>
        <v>0</v>
      </c>
      <c r="P31" s="284">
        <f t="shared" si="12"/>
        <v>0</v>
      </c>
      <c r="Q31" s="284">
        <f t="shared" si="12"/>
        <v>0</v>
      </c>
      <c r="R31" s="284">
        <f t="shared" si="12"/>
        <v>0</v>
      </c>
      <c r="S31" s="284">
        <f t="shared" si="12"/>
        <v>0</v>
      </c>
      <c r="T31" s="284">
        <f t="shared" si="12"/>
        <v>0</v>
      </c>
      <c r="U31" s="284">
        <f t="shared" si="12"/>
        <v>0</v>
      </c>
      <c r="V31" s="284">
        <f t="shared" si="12"/>
        <v>0</v>
      </c>
      <c r="W31" s="284">
        <f t="shared" si="12"/>
        <v>0</v>
      </c>
      <c r="X31" s="284">
        <f t="shared" si="12"/>
        <v>0</v>
      </c>
      <c r="Y31" s="284">
        <f t="shared" si="12"/>
        <v>0</v>
      </c>
      <c r="Z31" s="284">
        <f t="shared" si="12"/>
        <v>0</v>
      </c>
      <c r="AA31" s="284">
        <f t="shared" si="12"/>
        <v>0</v>
      </c>
      <c r="AB31" s="284">
        <f t="shared" si="12"/>
        <v>0</v>
      </c>
      <c r="AC31" s="284">
        <f t="shared" si="12"/>
        <v>0</v>
      </c>
      <c r="AD31" s="284">
        <f t="shared" si="12"/>
        <v>0</v>
      </c>
      <c r="AE31" s="284">
        <f t="shared" si="12"/>
        <v>0</v>
      </c>
      <c r="AF31" s="284">
        <f t="shared" si="12"/>
        <v>0</v>
      </c>
      <c r="AG31" s="284">
        <f t="shared" si="12"/>
        <v>0</v>
      </c>
      <c r="AH31" s="284">
        <f t="shared" ref="AH31:AQ31" si="13">+AH32+AH36</f>
        <v>0</v>
      </c>
      <c r="AI31" s="284">
        <f t="shared" si="13"/>
        <v>0</v>
      </c>
      <c r="AJ31" s="284">
        <f t="shared" si="13"/>
        <v>0</v>
      </c>
      <c r="AK31" s="284">
        <f t="shared" si="13"/>
        <v>0</v>
      </c>
      <c r="AL31" s="284">
        <f t="shared" si="13"/>
        <v>0</v>
      </c>
      <c r="AM31" s="284">
        <f t="shared" si="13"/>
        <v>0</v>
      </c>
      <c r="AN31" s="284">
        <f t="shared" si="13"/>
        <v>0</v>
      </c>
      <c r="AO31" s="284">
        <f t="shared" si="13"/>
        <v>0</v>
      </c>
      <c r="AP31" s="284">
        <f t="shared" si="13"/>
        <v>0</v>
      </c>
      <c r="AQ31" s="284">
        <f t="shared" si="13"/>
        <v>0</v>
      </c>
    </row>
    <row r="32" spans="2:43" outlineLevel="2">
      <c r="B32" s="266"/>
      <c r="C32" s="262"/>
      <c r="D32" s="277" t="s">
        <v>507</v>
      </c>
      <c r="E32" s="478" t="s">
        <v>536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</row>
    <row r="33" spans="2:43" ht="27" outlineLevel="2">
      <c r="B33" s="267"/>
      <c r="C33" s="262"/>
      <c r="D33" s="278" t="s">
        <v>575</v>
      </c>
      <c r="E33" s="478" t="s">
        <v>508</v>
      </c>
      <c r="F33" s="265"/>
      <c r="G33" s="265"/>
      <c r="H33" s="265"/>
      <c r="I33" s="265"/>
      <c r="J33" s="265"/>
      <c r="K33" s="265"/>
      <c r="L33" s="265"/>
      <c r="M33" s="265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</row>
    <row r="34" spans="2:43" outlineLevel="2">
      <c r="B34" s="267"/>
      <c r="C34" s="262"/>
      <c r="D34" s="278" t="s">
        <v>573</v>
      </c>
      <c r="E34" s="478" t="s">
        <v>509</v>
      </c>
      <c r="F34" s="265"/>
      <c r="G34" s="265"/>
      <c r="H34" s="265"/>
      <c r="I34" s="265"/>
      <c r="J34" s="265"/>
      <c r="K34" s="265"/>
      <c r="L34" s="265"/>
      <c r="M34" s="265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</row>
    <row r="35" spans="2:43" outlineLevel="2">
      <c r="B35" s="267"/>
      <c r="C35" s="302"/>
      <c r="D35" s="303" t="s">
        <v>574</v>
      </c>
      <c r="E35" s="480" t="s">
        <v>687</v>
      </c>
      <c r="F35" s="265"/>
      <c r="G35" s="265"/>
      <c r="H35" s="265"/>
      <c r="I35" s="265"/>
      <c r="J35" s="265"/>
      <c r="K35" s="265"/>
      <c r="L35" s="265"/>
      <c r="M35" s="265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</row>
    <row r="36" spans="2:43" outlineLevel="2">
      <c r="B36" s="266"/>
      <c r="C36" s="258"/>
      <c r="D36" s="277" t="s">
        <v>510</v>
      </c>
      <c r="E36" s="478" t="s">
        <v>537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</row>
    <row r="37" spans="2:43" outlineLevel="2">
      <c r="B37" s="267"/>
      <c r="C37" s="258"/>
      <c r="D37" s="278" t="s">
        <v>512</v>
      </c>
      <c r="E37" s="478" t="s">
        <v>511</v>
      </c>
      <c r="F37" s="265"/>
      <c r="G37" s="265"/>
      <c r="H37" s="265"/>
      <c r="I37" s="265"/>
      <c r="J37" s="265"/>
      <c r="K37" s="265"/>
      <c r="L37" s="265"/>
      <c r="M37" s="265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</row>
    <row r="38" spans="2:43" outlineLevel="1">
      <c r="B38" s="268"/>
      <c r="C38" s="258"/>
      <c r="D38" s="261" t="s">
        <v>513</v>
      </c>
      <c r="E38" s="482"/>
      <c r="F38" s="263">
        <f>+F40+F41</f>
        <v>0</v>
      </c>
      <c r="G38" s="263">
        <f>+G40+G41</f>
        <v>0</v>
      </c>
      <c r="H38" s="263">
        <f>+H40+H41</f>
        <v>0</v>
      </c>
      <c r="I38" s="263">
        <f>+I40+I41</f>
        <v>0</v>
      </c>
      <c r="J38" s="263">
        <f>+J40+J41</f>
        <v>0</v>
      </c>
      <c r="K38" s="263">
        <f t="shared" ref="K38:AG38" si="14">+K40+K41</f>
        <v>0</v>
      </c>
      <c r="L38" s="263">
        <f t="shared" si="14"/>
        <v>0</v>
      </c>
      <c r="M38" s="263">
        <f t="shared" si="14"/>
        <v>0</v>
      </c>
      <c r="N38" s="263">
        <f t="shared" si="14"/>
        <v>0</v>
      </c>
      <c r="O38" s="263">
        <f t="shared" si="14"/>
        <v>0</v>
      </c>
      <c r="P38" s="263">
        <f t="shared" si="14"/>
        <v>0</v>
      </c>
      <c r="Q38" s="263">
        <f t="shared" si="14"/>
        <v>0</v>
      </c>
      <c r="R38" s="263">
        <f t="shared" si="14"/>
        <v>0</v>
      </c>
      <c r="S38" s="263">
        <f t="shared" si="14"/>
        <v>0</v>
      </c>
      <c r="T38" s="263">
        <f t="shared" si="14"/>
        <v>0</v>
      </c>
      <c r="U38" s="263">
        <f t="shared" si="14"/>
        <v>0</v>
      </c>
      <c r="V38" s="263">
        <f t="shared" si="14"/>
        <v>0</v>
      </c>
      <c r="W38" s="263">
        <f t="shared" si="14"/>
        <v>0</v>
      </c>
      <c r="X38" s="263">
        <f t="shared" si="14"/>
        <v>0</v>
      </c>
      <c r="Y38" s="263">
        <f t="shared" si="14"/>
        <v>0</v>
      </c>
      <c r="Z38" s="263">
        <f t="shared" si="14"/>
        <v>0</v>
      </c>
      <c r="AA38" s="263">
        <f t="shared" si="14"/>
        <v>0</v>
      </c>
      <c r="AB38" s="263">
        <f t="shared" si="14"/>
        <v>0</v>
      </c>
      <c r="AC38" s="263">
        <f t="shared" si="14"/>
        <v>0</v>
      </c>
      <c r="AD38" s="263">
        <f t="shared" si="14"/>
        <v>0</v>
      </c>
      <c r="AE38" s="263">
        <f t="shared" si="14"/>
        <v>0</v>
      </c>
      <c r="AF38" s="263">
        <f t="shared" si="14"/>
        <v>0</v>
      </c>
      <c r="AG38" s="263">
        <f t="shared" si="14"/>
        <v>0</v>
      </c>
      <c r="AH38" s="263">
        <f t="shared" ref="AH38:AQ38" si="15">+AH40+AH41</f>
        <v>0</v>
      </c>
      <c r="AI38" s="263">
        <f t="shared" si="15"/>
        <v>0</v>
      </c>
      <c r="AJ38" s="263">
        <f t="shared" si="15"/>
        <v>0</v>
      </c>
      <c r="AK38" s="263">
        <f t="shared" si="15"/>
        <v>0</v>
      </c>
      <c r="AL38" s="263">
        <f t="shared" si="15"/>
        <v>0</v>
      </c>
      <c r="AM38" s="263">
        <f t="shared" si="15"/>
        <v>0</v>
      </c>
      <c r="AN38" s="263">
        <f t="shared" si="15"/>
        <v>0</v>
      </c>
      <c r="AO38" s="263">
        <f t="shared" si="15"/>
        <v>0</v>
      </c>
      <c r="AP38" s="263">
        <f t="shared" si="15"/>
        <v>0</v>
      </c>
      <c r="AQ38" s="263">
        <f t="shared" si="15"/>
        <v>0</v>
      </c>
    </row>
    <row r="39" spans="2:43" outlineLevel="2">
      <c r="B39" s="268"/>
      <c r="C39" s="258"/>
      <c r="D39" s="279" t="s">
        <v>516</v>
      </c>
      <c r="E39" s="482" t="s">
        <v>517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</row>
    <row r="40" spans="2:43" outlineLevel="2">
      <c r="B40" s="268"/>
      <c r="C40" s="258"/>
      <c r="D40" s="279" t="s">
        <v>514</v>
      </c>
      <c r="E40" s="482" t="s">
        <v>520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</row>
    <row r="41" spans="2:43" outlineLevel="2">
      <c r="B41" s="268"/>
      <c r="C41" s="258"/>
      <c r="D41" s="279" t="s">
        <v>515</v>
      </c>
      <c r="E41" s="482" t="s">
        <v>521</v>
      </c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</row>
    <row r="42" spans="2:43">
      <c r="C42" s="25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491" t="s">
        <v>664</v>
      </c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</row>
    <row r="43" spans="2:43">
      <c r="C43" s="258"/>
      <c r="D43" s="269"/>
      <c r="E43" s="258"/>
      <c r="F43" s="258"/>
      <c r="G43" s="258"/>
      <c r="H43" s="258"/>
      <c r="I43" s="258"/>
      <c r="J43" s="258"/>
      <c r="K43" s="258"/>
      <c r="L43" s="258"/>
      <c r="M43" s="269"/>
      <c r="N43" s="260" t="s">
        <v>663</v>
      </c>
      <c r="O43" s="260" t="s">
        <v>662</v>
      </c>
      <c r="P43" s="211" t="s">
        <v>665</v>
      </c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</row>
    <row r="44" spans="2:43">
      <c r="C44" s="258"/>
      <c r="E44" s="258"/>
      <c r="F44" s="258"/>
      <c r="G44" s="258"/>
      <c r="H44" s="258"/>
      <c r="I44" s="258"/>
      <c r="J44" s="258"/>
      <c r="K44" s="258"/>
      <c r="L44" s="258"/>
      <c r="M44" s="269"/>
      <c r="N44" s="487">
        <f>+SUM(N19:AQ19)</f>
        <v>0</v>
      </c>
      <c r="O44" s="487">
        <f>+SUM(N25:AQ25)</f>
        <v>0</v>
      </c>
      <c r="P44" s="487">
        <f>+N44-O44</f>
        <v>0</v>
      </c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</row>
    <row r="45" spans="2:43">
      <c r="C45" s="25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</row>
    <row r="46" spans="2:43" ht="15.75">
      <c r="C46" s="258"/>
      <c r="D46" s="490" t="s">
        <v>710</v>
      </c>
      <c r="E46" s="486"/>
      <c r="F46" s="486"/>
      <c r="G46" s="486"/>
      <c r="H46" s="486"/>
      <c r="I46" s="486"/>
      <c r="J46" s="486"/>
      <c r="K46" s="486"/>
      <c r="L46" s="486"/>
      <c r="M46" s="486"/>
      <c r="N46" s="211">
        <f>+N$2</f>
        <v>2022</v>
      </c>
      <c r="O46" s="211">
        <f t="shared" ref="O46:AQ46" si="16">+O$2</f>
        <v>2023</v>
      </c>
      <c r="P46" s="211">
        <f t="shared" si="16"/>
        <v>2024</v>
      </c>
      <c r="Q46" s="211">
        <f t="shared" si="16"/>
        <v>2025</v>
      </c>
      <c r="R46" s="211">
        <f t="shared" si="16"/>
        <v>2026</v>
      </c>
      <c r="S46" s="211">
        <f t="shared" si="16"/>
        <v>2027</v>
      </c>
      <c r="T46" s="211">
        <f t="shared" si="16"/>
        <v>2028</v>
      </c>
      <c r="U46" s="211">
        <f t="shared" si="16"/>
        <v>2029</v>
      </c>
      <c r="V46" s="211">
        <f t="shared" si="16"/>
        <v>2030</v>
      </c>
      <c r="W46" s="211">
        <f t="shared" si="16"/>
        <v>2031</v>
      </c>
      <c r="X46" s="211">
        <f t="shared" si="16"/>
        <v>2032</v>
      </c>
      <c r="Y46" s="211">
        <f t="shared" si="16"/>
        <v>2033</v>
      </c>
      <c r="Z46" s="211">
        <f t="shared" si="16"/>
        <v>2034</v>
      </c>
      <c r="AA46" s="211">
        <f t="shared" si="16"/>
        <v>2035</v>
      </c>
      <c r="AB46" s="211">
        <f t="shared" si="16"/>
        <v>2036</v>
      </c>
      <c r="AC46" s="211">
        <f t="shared" si="16"/>
        <v>2037</v>
      </c>
      <c r="AD46" s="211">
        <f t="shared" si="16"/>
        <v>2038</v>
      </c>
      <c r="AE46" s="211">
        <f t="shared" si="16"/>
        <v>2039</v>
      </c>
      <c r="AF46" s="211">
        <f t="shared" si="16"/>
        <v>2040</v>
      </c>
      <c r="AG46" s="211">
        <f t="shared" si="16"/>
        <v>2041</v>
      </c>
      <c r="AH46" s="211">
        <f t="shared" si="16"/>
        <v>2042</v>
      </c>
      <c r="AI46" s="211">
        <f t="shared" si="16"/>
        <v>2043</v>
      </c>
      <c r="AJ46" s="211">
        <f t="shared" si="16"/>
        <v>2044</v>
      </c>
      <c r="AK46" s="211">
        <f t="shared" si="16"/>
        <v>2045</v>
      </c>
      <c r="AL46" s="211">
        <f t="shared" si="16"/>
        <v>2046</v>
      </c>
      <c r="AM46" s="211">
        <f t="shared" si="16"/>
        <v>2047</v>
      </c>
      <c r="AN46" s="211">
        <f t="shared" si="16"/>
        <v>2048</v>
      </c>
      <c r="AO46" s="211">
        <f t="shared" si="16"/>
        <v>2049</v>
      </c>
      <c r="AP46" s="211">
        <f t="shared" si="16"/>
        <v>2050</v>
      </c>
      <c r="AQ46" s="211">
        <f t="shared" si="16"/>
        <v>2051</v>
      </c>
    </row>
    <row r="47" spans="2:43" outlineLevel="1" collapsed="1">
      <c r="C47" s="270" t="s">
        <v>491</v>
      </c>
      <c r="D47" s="486" t="s">
        <v>689</v>
      </c>
      <c r="E47" s="486"/>
      <c r="F47" s="486" t="str">
        <f>+WPF_Analiza!F171</f>
        <v>x</v>
      </c>
      <c r="G47" s="486" t="str">
        <f>+WPF_Analiza!G171</f>
        <v>x</v>
      </c>
      <c r="H47" s="486" t="str">
        <f>+WPF_Analiza!H171</f>
        <v>x</v>
      </c>
      <c r="I47" s="486" t="str">
        <f>+WPF_Analiza!I171</f>
        <v>x</v>
      </c>
      <c r="J47" s="486" t="str">
        <f>+WPF_Analiza!J171</f>
        <v>x</v>
      </c>
      <c r="K47" s="486" t="str">
        <f>+WPF_Analiza!K171</f>
        <v>x</v>
      </c>
      <c r="L47" s="486" t="str">
        <f>+WPF_Analiza!L171</f>
        <v>x</v>
      </c>
      <c r="M47" s="486" t="str">
        <f>+WPF_Analiza!M171</f>
        <v>x</v>
      </c>
      <c r="N47" s="487" t="str">
        <f>+WPF_Analiza!N137</f>
        <v>OK</v>
      </c>
      <c r="O47" s="487" t="str">
        <f>+WPF_Analiza!O137</f>
        <v>OK</v>
      </c>
      <c r="P47" s="487" t="str">
        <f>+WPF_Analiza!P137</f>
        <v>OK</v>
      </c>
      <c r="Q47" s="487" t="str">
        <f>+WPF_Analiza!Q137</f>
        <v>OK</v>
      </c>
      <c r="R47" s="487" t="str">
        <f>+WPF_Analiza!R137</f>
        <v>OK</v>
      </c>
      <c r="S47" s="487" t="str">
        <f>+WPF_Analiza!S137</f>
        <v>OK</v>
      </c>
      <c r="T47" s="487" t="str">
        <f>+WPF_Analiza!T137</f>
        <v>OK</v>
      </c>
      <c r="U47" s="487" t="str">
        <f>+WPF_Analiza!U137</f>
        <v>OK</v>
      </c>
      <c r="V47" s="487" t="str">
        <f>+WPF_Analiza!V137</f>
        <v>OK</v>
      </c>
      <c r="W47" s="487" t="str">
        <f>+WPF_Analiza!W137</f>
        <v>OK</v>
      </c>
      <c r="X47" s="487" t="str">
        <f>+WPF_Analiza!X137</f>
        <v>OK</v>
      </c>
      <c r="Y47" s="487" t="str">
        <f>+WPF_Analiza!Y137</f>
        <v>OK</v>
      </c>
      <c r="Z47" s="487" t="str">
        <f>+WPF_Analiza!Z137</f>
        <v>OK</v>
      </c>
      <c r="AA47" s="487" t="str">
        <f>+WPF_Analiza!AA137</f>
        <v>OK</v>
      </c>
      <c r="AB47" s="487" t="str">
        <f>+WPF_Analiza!AB137</f>
        <v>OK</v>
      </c>
      <c r="AC47" s="487" t="str">
        <f>+WPF_Analiza!AC137</f>
        <v>OK</v>
      </c>
      <c r="AD47" s="487" t="str">
        <f>+WPF_Analiza!AD137</f>
        <v>OK</v>
      </c>
      <c r="AE47" s="487" t="str">
        <f>+WPF_Analiza!AE137</f>
        <v>OK</v>
      </c>
      <c r="AF47" s="487" t="str">
        <f>+WPF_Analiza!AF137</f>
        <v>OK</v>
      </c>
      <c r="AG47" s="487" t="str">
        <f>+WPF_Analiza!AG137</f>
        <v>OK</v>
      </c>
      <c r="AH47" s="487" t="str">
        <f>+WPF_Analiza!AH137</f>
        <v>OK</v>
      </c>
      <c r="AI47" s="487" t="str">
        <f>+WPF_Analiza!AI137</f>
        <v>OK</v>
      </c>
      <c r="AJ47" s="487" t="str">
        <f>+WPF_Analiza!AJ137</f>
        <v>OK</v>
      </c>
      <c r="AK47" s="487" t="str">
        <f>+WPF_Analiza!AK137</f>
        <v>OK</v>
      </c>
      <c r="AL47" s="487" t="str">
        <f>+WPF_Analiza!AL137</f>
        <v>OK</v>
      </c>
      <c r="AM47" s="487" t="str">
        <f>+WPF_Analiza!AM137</f>
        <v>OK</v>
      </c>
      <c r="AN47" s="487" t="str">
        <f>+WPF_Analiza!AN137</f>
        <v>OK</v>
      </c>
      <c r="AO47" s="487" t="str">
        <f>+WPF_Analiza!AO137</f>
        <v>OK</v>
      </c>
      <c r="AP47" s="487" t="str">
        <f>+WPF_Analiza!AZ137</f>
        <v>OK</v>
      </c>
      <c r="AQ47" s="487" t="str">
        <f>+WPF_Analiza!BA137</f>
        <v>OK</v>
      </c>
    </row>
    <row r="48" spans="2:43" outlineLevel="1">
      <c r="C48" s="270" t="s">
        <v>301</v>
      </c>
      <c r="D48" s="486" t="s">
        <v>577</v>
      </c>
      <c r="E48" s="486"/>
      <c r="F48" s="487">
        <f>+WPF_Analiza!F60</f>
        <v>2352561.5</v>
      </c>
      <c r="G48" s="487">
        <f>+WPF_Analiza!G60</f>
        <v>4353198.4800000004</v>
      </c>
      <c r="H48" s="487">
        <f>+WPF_Analiza!H60</f>
        <v>3565984.06</v>
      </c>
      <c r="I48" s="487">
        <f>+WPF_Analiza!I60</f>
        <v>4245842.47</v>
      </c>
      <c r="J48" s="487">
        <f>+WPF_Analiza!J60</f>
        <v>5872693.0700000003</v>
      </c>
      <c r="K48" s="487">
        <f>+WPF_Analiza!K60</f>
        <v>4586950.83</v>
      </c>
      <c r="L48" s="487">
        <f>+WPF_Analiza!L60</f>
        <v>2120038</v>
      </c>
      <c r="M48" s="487">
        <f>+WPF_Analiza!M60</f>
        <v>8749720.2599999998</v>
      </c>
      <c r="N48" s="487">
        <f>+WPF_Analiza!N60</f>
        <v>1058265</v>
      </c>
      <c r="O48" s="487">
        <f>+WPF_Analiza!O60</f>
        <v>1904854</v>
      </c>
      <c r="P48" s="487">
        <f>+WPF_Analiza!P60</f>
        <v>2445284</v>
      </c>
      <c r="Q48" s="487">
        <f>+WPF_Analiza!Q60</f>
        <v>3113533</v>
      </c>
      <c r="R48" s="487">
        <f>+WPF_Analiza!R60</f>
        <v>3816905</v>
      </c>
      <c r="S48" s="487">
        <f>+WPF_Analiza!S60</f>
        <v>4498543</v>
      </c>
      <c r="T48" s="487">
        <f>+WPF_Analiza!T60</f>
        <v>5146159</v>
      </c>
      <c r="U48" s="487">
        <f>+WPF_Analiza!U60</f>
        <v>5690393</v>
      </c>
      <c r="V48" s="487">
        <f>+WPF_Analiza!V60</f>
        <v>6126926</v>
      </c>
      <c r="W48" s="487">
        <f>+WPF_Analiza!W60</f>
        <v>6514120</v>
      </c>
      <c r="X48" s="487">
        <f>+WPF_Analiza!X60</f>
        <v>6861826</v>
      </c>
      <c r="Y48" s="487">
        <f>+WPF_Analiza!Y60</f>
        <v>7165107</v>
      </c>
      <c r="Z48" s="487">
        <f>+WPF_Analiza!Z60</f>
        <v>0</v>
      </c>
      <c r="AA48" s="487">
        <f>+WPF_Analiza!AA60</f>
        <v>0</v>
      </c>
      <c r="AB48" s="487">
        <f>+WPF_Analiza!AB60</f>
        <v>0</v>
      </c>
      <c r="AC48" s="487">
        <f>+WPF_Analiza!AC60</f>
        <v>0</v>
      </c>
      <c r="AD48" s="487">
        <f>+WPF_Analiza!AD60</f>
        <v>0</v>
      </c>
      <c r="AE48" s="487">
        <f>+WPF_Analiza!AE60</f>
        <v>0</v>
      </c>
      <c r="AF48" s="487">
        <f>+WPF_Analiza!AF60</f>
        <v>0</v>
      </c>
      <c r="AG48" s="487">
        <f>+WPF_Analiza!AG60</f>
        <v>0</v>
      </c>
      <c r="AH48" s="487">
        <f>+WPF_Analiza!AH60</f>
        <v>0</v>
      </c>
      <c r="AI48" s="487">
        <f>+WPF_Analiza!AI60</f>
        <v>0</v>
      </c>
      <c r="AJ48" s="487">
        <f>+WPF_Analiza!AJ60</f>
        <v>0</v>
      </c>
      <c r="AK48" s="487">
        <f>+WPF_Analiza!AK60</f>
        <v>0</v>
      </c>
      <c r="AL48" s="487">
        <f>+WPF_Analiza!AL60</f>
        <v>0</v>
      </c>
      <c r="AM48" s="487">
        <f>+WPF_Analiza!AM60</f>
        <v>0</v>
      </c>
      <c r="AN48" s="487">
        <f>+WPF_Analiza!AN60</f>
        <v>0</v>
      </c>
      <c r="AO48" s="487">
        <f>+WPF_Analiza!AO60</f>
        <v>0</v>
      </c>
      <c r="AP48" s="487">
        <f>+WPF_Analiza!AZ60</f>
        <v>0</v>
      </c>
      <c r="AQ48" s="487">
        <f>+WPF_Analiza!BA60</f>
        <v>0</v>
      </c>
    </row>
    <row r="49" spans="3:43" outlineLevel="1">
      <c r="C49" s="270" t="s">
        <v>302</v>
      </c>
      <c r="D49" s="486" t="s">
        <v>578</v>
      </c>
      <c r="E49" s="486"/>
      <c r="F49" s="487">
        <f>+WPF_Analiza!F61</f>
        <v>2352561.5</v>
      </c>
      <c r="G49" s="487">
        <f>+WPF_Analiza!G61</f>
        <v>4353198.4800000004</v>
      </c>
      <c r="H49" s="487">
        <f>+WPF_Analiza!H61</f>
        <v>3565984.06</v>
      </c>
      <c r="I49" s="487">
        <f>+WPF_Analiza!I61</f>
        <v>4245842.47</v>
      </c>
      <c r="J49" s="487">
        <f>+WPF_Analiza!J61</f>
        <v>7572121.6299999999</v>
      </c>
      <c r="K49" s="487">
        <f>+WPF_Analiza!K61</f>
        <v>11493498.460000001</v>
      </c>
      <c r="L49" s="487">
        <f>+WPF_Analiza!L61</f>
        <v>12710038</v>
      </c>
      <c r="M49" s="487">
        <f>+WPF_Analiza!M61</f>
        <v>19381193.100000001</v>
      </c>
      <c r="N49" s="487">
        <f>+WPF_Analiza!N61</f>
        <v>9220803</v>
      </c>
      <c r="O49" s="487">
        <f>+WPF_Analiza!O61</f>
        <v>1904854</v>
      </c>
      <c r="P49" s="487">
        <f>+WPF_Analiza!P61</f>
        <v>2445284</v>
      </c>
      <c r="Q49" s="487">
        <f>+WPF_Analiza!Q61</f>
        <v>3113533</v>
      </c>
      <c r="R49" s="487">
        <f>+WPF_Analiza!R61</f>
        <v>3816905</v>
      </c>
      <c r="S49" s="487">
        <f>+WPF_Analiza!S61</f>
        <v>4498543</v>
      </c>
      <c r="T49" s="487">
        <f>+WPF_Analiza!T61</f>
        <v>5146159</v>
      </c>
      <c r="U49" s="487">
        <f>+WPF_Analiza!U61</f>
        <v>5690393</v>
      </c>
      <c r="V49" s="487">
        <f>+WPF_Analiza!V61</f>
        <v>6126926</v>
      </c>
      <c r="W49" s="487">
        <f>+WPF_Analiza!W61</f>
        <v>6514120</v>
      </c>
      <c r="X49" s="487">
        <f>+WPF_Analiza!X61</f>
        <v>6861826</v>
      </c>
      <c r="Y49" s="487">
        <f>+WPF_Analiza!Y61</f>
        <v>7165107</v>
      </c>
      <c r="Z49" s="487">
        <f>+WPF_Analiza!Z61</f>
        <v>0</v>
      </c>
      <c r="AA49" s="487">
        <f>+WPF_Analiza!AA61</f>
        <v>0</v>
      </c>
      <c r="AB49" s="487">
        <f>+WPF_Analiza!AB61</f>
        <v>0</v>
      </c>
      <c r="AC49" s="487">
        <f>+WPF_Analiza!AC61</f>
        <v>0</v>
      </c>
      <c r="AD49" s="487">
        <f>+WPF_Analiza!AD61</f>
        <v>0</v>
      </c>
      <c r="AE49" s="487">
        <f>+WPF_Analiza!AE61</f>
        <v>0</v>
      </c>
      <c r="AF49" s="487">
        <f>+WPF_Analiza!AF61</f>
        <v>0</v>
      </c>
      <c r="AG49" s="487">
        <f>+WPF_Analiza!AG61</f>
        <v>0</v>
      </c>
      <c r="AH49" s="487">
        <f>+WPF_Analiza!AH61</f>
        <v>0</v>
      </c>
      <c r="AI49" s="487">
        <f>+WPF_Analiza!AI61</f>
        <v>0</v>
      </c>
      <c r="AJ49" s="487">
        <f>+WPF_Analiza!AJ61</f>
        <v>0</v>
      </c>
      <c r="AK49" s="487">
        <f>+WPF_Analiza!AK61</f>
        <v>0</v>
      </c>
      <c r="AL49" s="487">
        <f>+WPF_Analiza!AL61</f>
        <v>0</v>
      </c>
      <c r="AM49" s="487">
        <f>+WPF_Analiza!AM61</f>
        <v>0</v>
      </c>
      <c r="AN49" s="487">
        <f>+WPF_Analiza!AN61</f>
        <v>0</v>
      </c>
      <c r="AO49" s="487">
        <f>+WPF_Analiza!AO61</f>
        <v>0</v>
      </c>
      <c r="AP49" s="487">
        <f>+WPF_Analiza!AZ61</f>
        <v>0</v>
      </c>
      <c r="AQ49" s="487">
        <f>+WPF_Analiza!BA61</f>
        <v>0</v>
      </c>
    </row>
    <row r="50" spans="3:43" ht="27" outlineLevel="1">
      <c r="C50" s="270" t="s">
        <v>63</v>
      </c>
      <c r="D50" s="486" t="s">
        <v>545</v>
      </c>
      <c r="E50" s="486"/>
      <c r="F50" s="486" t="str">
        <f>+WPF_Analiza!F63</f>
        <v>x</v>
      </c>
      <c r="G50" s="486" t="str">
        <f>+WPF_Analiza!G63</f>
        <v>x</v>
      </c>
      <c r="H50" s="486" t="str">
        <f>+WPF_Analiza!H63</f>
        <v>x</v>
      </c>
      <c r="I50" s="486" t="str">
        <f>+WPF_Analiza!I63</f>
        <v>x</v>
      </c>
      <c r="J50" s="486" t="str">
        <f>+WPF_Analiza!J63</f>
        <v>x</v>
      </c>
      <c r="K50" s="486" t="str">
        <f>+WPF_Analiza!K63</f>
        <v>x</v>
      </c>
      <c r="L50" s="486" t="str">
        <f>+WPF_Analiza!L63</f>
        <v>x</v>
      </c>
      <c r="M50" s="486" t="str">
        <f>+WPF_Analiza!M63</f>
        <v>x</v>
      </c>
      <c r="N50" s="488">
        <f>+WPF_Analiza!N63</f>
        <v>9.7999999999999997E-3</v>
      </c>
      <c r="O50" s="488">
        <f>+WPF_Analiza!O63</f>
        <v>6.83E-2</v>
      </c>
      <c r="P50" s="488">
        <f>+WPF_Analiza!P63</f>
        <v>6.2199999999999998E-2</v>
      </c>
      <c r="Q50" s="488">
        <f>+WPF_Analiza!Q63</f>
        <v>6.0699999999999997E-2</v>
      </c>
      <c r="R50" s="488">
        <f>+WPF_Analiza!R63</f>
        <v>5.7099999999999998E-2</v>
      </c>
      <c r="S50" s="488">
        <f>+WPF_Analiza!S63</f>
        <v>5.3699999999999998E-2</v>
      </c>
      <c r="T50" s="488">
        <f>+WPF_Analiza!T63</f>
        <v>3.95E-2</v>
      </c>
      <c r="U50" s="488">
        <f>+WPF_Analiza!U63</f>
        <v>3.7400000000000003E-2</v>
      </c>
      <c r="V50" s="488">
        <f>+WPF_Analiza!V63</f>
        <v>3.5499999999999997E-2</v>
      </c>
      <c r="W50" s="488">
        <f>+WPF_Analiza!W63</f>
        <v>3.3799999999999997E-2</v>
      </c>
      <c r="X50" s="488">
        <f>+WPF_Analiza!X63</f>
        <v>3.6999999999999998E-2</v>
      </c>
      <c r="Y50" s="488">
        <f>+WPF_Analiza!Y63</f>
        <v>3.4799999999999998E-2</v>
      </c>
      <c r="Z50" s="488">
        <f>+WPF_Analiza!Z63</f>
        <v>0</v>
      </c>
      <c r="AA50" s="488">
        <f>+WPF_Analiza!AA63</f>
        <v>0</v>
      </c>
      <c r="AB50" s="488">
        <f>+WPF_Analiza!AB63</f>
        <v>0</v>
      </c>
      <c r="AC50" s="488">
        <f>+WPF_Analiza!AC63</f>
        <v>0</v>
      </c>
      <c r="AD50" s="488">
        <f>+WPF_Analiza!AD63</f>
        <v>0</v>
      </c>
      <c r="AE50" s="488">
        <f>+WPF_Analiza!AE63</f>
        <v>0</v>
      </c>
      <c r="AF50" s="488">
        <f>+WPF_Analiza!AF63</f>
        <v>0</v>
      </c>
      <c r="AG50" s="488">
        <f>+WPF_Analiza!AG63</f>
        <v>0</v>
      </c>
      <c r="AH50" s="488">
        <f>+WPF_Analiza!AH63</f>
        <v>0</v>
      </c>
      <c r="AI50" s="488">
        <f>+WPF_Analiza!AI63</f>
        <v>0</v>
      </c>
      <c r="AJ50" s="488">
        <f>+WPF_Analiza!AJ63</f>
        <v>0</v>
      </c>
      <c r="AK50" s="488">
        <f>+WPF_Analiza!AK63</f>
        <v>0</v>
      </c>
      <c r="AL50" s="488">
        <f>+WPF_Analiza!AL63</f>
        <v>0</v>
      </c>
      <c r="AM50" s="488">
        <f>+WPF_Analiza!AM63</f>
        <v>0</v>
      </c>
      <c r="AN50" s="488">
        <f>+WPF_Analiza!AN63</f>
        <v>0</v>
      </c>
      <c r="AO50" s="488">
        <f>+WPF_Analiza!AO63</f>
        <v>0</v>
      </c>
      <c r="AP50" s="488">
        <f>+WPF_Analiza!AZ63</f>
        <v>0</v>
      </c>
      <c r="AQ50" s="488">
        <f>+WPF_Analiza!BA63</f>
        <v>0</v>
      </c>
    </row>
    <row r="51" spans="3:43" outlineLevel="1">
      <c r="C51" s="270" t="s">
        <v>518</v>
      </c>
      <c r="D51" s="486" t="s">
        <v>541</v>
      </c>
      <c r="E51" s="486"/>
      <c r="F51" s="488">
        <f>+WPF_Analiza!F67</f>
        <v>0.114</v>
      </c>
      <c r="G51" s="488">
        <f>+WPF_Analiza!G67</f>
        <v>0.1769</v>
      </c>
      <c r="H51" s="488">
        <f>+WPF_Analiza!H67</f>
        <v>0.1404</v>
      </c>
      <c r="I51" s="488">
        <f>+WPF_Analiza!I67</f>
        <v>0.19009999999999999</v>
      </c>
      <c r="J51" s="488">
        <f>+WPF_Analiza!J67</f>
        <v>0.1867</v>
      </c>
      <c r="K51" s="488">
        <f>+WPF_Analiza!K67</f>
        <v>0.14860000000000001</v>
      </c>
      <c r="L51" s="488">
        <f>+WPF_Analiza!L67</f>
        <v>8.0299999999999996E-2</v>
      </c>
      <c r="M51" s="488">
        <f>+WPF_Analiza!M67</f>
        <v>0.28129999999999999</v>
      </c>
      <c r="N51" s="488">
        <f>+WPF_Analiza!N67</f>
        <v>5.11E-2</v>
      </c>
      <c r="O51" s="488">
        <f>+WPF_Analiza!O67</f>
        <v>7.6899999999999996E-2</v>
      </c>
      <c r="P51" s="488">
        <f>+WPF_Analiza!P67</f>
        <v>7.5800000000000006E-2</v>
      </c>
      <c r="Q51" s="488">
        <f>+WPF_Analiza!Q67</f>
        <v>8.8300000000000003E-2</v>
      </c>
      <c r="R51" s="488">
        <f>+WPF_Analiza!R67</f>
        <v>0.1007</v>
      </c>
      <c r="S51" s="488">
        <f>+WPF_Analiza!S67</f>
        <v>0.11169999999999999</v>
      </c>
      <c r="T51" s="488">
        <f>+WPF_Analiza!T67</f>
        <v>0.1215</v>
      </c>
      <c r="U51" s="488">
        <f>+WPF_Analiza!U67</f>
        <v>0.12870000000000001</v>
      </c>
      <c r="V51" s="488">
        <f>+WPF_Analiza!V67</f>
        <v>0.13350000000000001</v>
      </c>
      <c r="W51" s="488">
        <f>+WPF_Analiza!W67</f>
        <v>0.1371</v>
      </c>
      <c r="X51" s="488">
        <f>+WPF_Analiza!X67</f>
        <v>0.13950000000000001</v>
      </c>
      <c r="Y51" s="488">
        <f>+WPF_Analiza!Y67</f>
        <v>0.14069999999999999</v>
      </c>
      <c r="Z51" s="488">
        <f>+WPF_Analiza!Z67</f>
        <v>0</v>
      </c>
      <c r="AA51" s="488">
        <f>+WPF_Analiza!AA67</f>
        <v>0</v>
      </c>
      <c r="AB51" s="488">
        <f>+WPF_Analiza!AB67</f>
        <v>0</v>
      </c>
      <c r="AC51" s="488">
        <f>+WPF_Analiza!AC67</f>
        <v>0</v>
      </c>
      <c r="AD51" s="488">
        <f>+WPF_Analiza!AD67</f>
        <v>0</v>
      </c>
      <c r="AE51" s="488">
        <f>+WPF_Analiza!AE67</f>
        <v>0</v>
      </c>
      <c r="AF51" s="488">
        <f>+WPF_Analiza!AF67</f>
        <v>0</v>
      </c>
      <c r="AG51" s="488">
        <f>+WPF_Analiza!AG67</f>
        <v>0</v>
      </c>
      <c r="AH51" s="488">
        <f>+WPF_Analiza!AH67</f>
        <v>0</v>
      </c>
      <c r="AI51" s="488">
        <f>+WPF_Analiza!AI67</f>
        <v>0</v>
      </c>
      <c r="AJ51" s="488">
        <f>+WPF_Analiza!AJ67</f>
        <v>0</v>
      </c>
      <c r="AK51" s="488">
        <f>+WPF_Analiza!AK67</f>
        <v>0</v>
      </c>
      <c r="AL51" s="488">
        <f>+WPF_Analiza!AL67</f>
        <v>0</v>
      </c>
      <c r="AM51" s="488">
        <f>+WPF_Analiza!AM67</f>
        <v>0</v>
      </c>
      <c r="AN51" s="488">
        <f>+WPF_Analiza!AN67</f>
        <v>0</v>
      </c>
      <c r="AO51" s="488">
        <f>+WPF_Analiza!AO67</f>
        <v>0</v>
      </c>
      <c r="AP51" s="488">
        <f>+WPF_Analiza!AZ67</f>
        <v>0</v>
      </c>
      <c r="AQ51" s="488">
        <f>+WPF_Analiza!BA67</f>
        <v>0</v>
      </c>
    </row>
    <row r="52" spans="3:43" outlineLevel="1">
      <c r="C52" s="270" t="s">
        <v>519</v>
      </c>
      <c r="D52" s="486" t="s">
        <v>542</v>
      </c>
      <c r="E52" s="486"/>
      <c r="F52" s="488">
        <f>+WPF_Analiza!F68</f>
        <v>0.1115</v>
      </c>
      <c r="G52" s="488">
        <f>+WPF_Analiza!G68</f>
        <v>0.17399999999999999</v>
      </c>
      <c r="H52" s="488">
        <f>+WPF_Analiza!H68</f>
        <v>0.13850000000000001</v>
      </c>
      <c r="I52" s="488">
        <f>+WPF_Analiza!I68</f>
        <v>0.14749999999999999</v>
      </c>
      <c r="J52" s="488">
        <f>+WPF_Analiza!J68</f>
        <v>0.18559999999999999</v>
      </c>
      <c r="K52" s="488">
        <f>+WPF_Analiza!K68</f>
        <v>0.1474</v>
      </c>
      <c r="L52" s="488">
        <f>+WPF_Analiza!L68</f>
        <v>7.9500000000000001E-2</v>
      </c>
      <c r="M52" s="488">
        <f>+WPF_Analiza!M68</f>
        <v>0.19850000000000001</v>
      </c>
      <c r="N52" s="488">
        <f>+WPF_Analiza!N68</f>
        <v>5.0299999999999997E-2</v>
      </c>
      <c r="O52" s="488">
        <f>+WPF_Analiza!O68</f>
        <v>7.6899999999999996E-2</v>
      </c>
      <c r="P52" s="488">
        <f>+WPF_Analiza!P68</f>
        <v>7.5800000000000006E-2</v>
      </c>
      <c r="Q52" s="488">
        <f>+WPF_Analiza!Q68</f>
        <v>8.8300000000000003E-2</v>
      </c>
      <c r="R52" s="488">
        <f>+WPF_Analiza!R68</f>
        <v>0.1007</v>
      </c>
      <c r="S52" s="488">
        <f>+WPF_Analiza!S68</f>
        <v>0.11169999999999999</v>
      </c>
      <c r="T52" s="488">
        <f>+WPF_Analiza!T68</f>
        <v>0.1215</v>
      </c>
      <c r="U52" s="488">
        <f>+WPF_Analiza!U68</f>
        <v>0.12870000000000001</v>
      </c>
      <c r="V52" s="488">
        <f>+WPF_Analiza!V68</f>
        <v>0.13350000000000001</v>
      </c>
      <c r="W52" s="488">
        <f>+WPF_Analiza!W68</f>
        <v>0.1371</v>
      </c>
      <c r="X52" s="488">
        <f>+WPF_Analiza!X68</f>
        <v>0.13950000000000001</v>
      </c>
      <c r="Y52" s="488">
        <f>+WPF_Analiza!Y68</f>
        <v>0.14069999999999999</v>
      </c>
      <c r="Z52" s="488">
        <f>+WPF_Analiza!Z68</f>
        <v>0</v>
      </c>
      <c r="AA52" s="488">
        <f>+WPF_Analiza!AA68</f>
        <v>0</v>
      </c>
      <c r="AB52" s="488">
        <f>+WPF_Analiza!AB68</f>
        <v>0</v>
      </c>
      <c r="AC52" s="488">
        <f>+WPF_Analiza!AC68</f>
        <v>0</v>
      </c>
      <c r="AD52" s="488">
        <f>+WPF_Analiza!AD68</f>
        <v>0</v>
      </c>
      <c r="AE52" s="488">
        <f>+WPF_Analiza!AE68</f>
        <v>0</v>
      </c>
      <c r="AF52" s="488">
        <f>+WPF_Analiza!AF68</f>
        <v>0</v>
      </c>
      <c r="AG52" s="488">
        <f>+WPF_Analiza!AG68</f>
        <v>0</v>
      </c>
      <c r="AH52" s="488">
        <f>+WPF_Analiza!AH68</f>
        <v>0</v>
      </c>
      <c r="AI52" s="488">
        <f>+WPF_Analiza!AI68</f>
        <v>0</v>
      </c>
      <c r="AJ52" s="488">
        <f>+WPF_Analiza!AJ68</f>
        <v>0</v>
      </c>
      <c r="AK52" s="488">
        <f>+WPF_Analiza!AK68</f>
        <v>0</v>
      </c>
      <c r="AL52" s="488">
        <f>+WPF_Analiza!AL68</f>
        <v>0</v>
      </c>
      <c r="AM52" s="488">
        <f>+WPF_Analiza!AM68</f>
        <v>0</v>
      </c>
      <c r="AN52" s="488">
        <f>+WPF_Analiza!AN68</f>
        <v>0</v>
      </c>
      <c r="AO52" s="488">
        <f>+WPF_Analiza!AO68</f>
        <v>0</v>
      </c>
      <c r="AP52" s="488">
        <f>+WPF_Analiza!AZ68</f>
        <v>0</v>
      </c>
      <c r="AQ52" s="488">
        <f>+WPF_Analiza!BA68</f>
        <v>0</v>
      </c>
    </row>
    <row r="53" spans="3:43" outlineLevel="1">
      <c r="C53" s="270" t="s">
        <v>303</v>
      </c>
      <c r="D53" s="486" t="s">
        <v>546</v>
      </c>
      <c r="E53" s="486"/>
      <c r="F53" s="486" t="str">
        <f>+WPF_Analiza!F69</f>
        <v>x</v>
      </c>
      <c r="G53" s="486" t="str">
        <f>+WPF_Analiza!G69</f>
        <v>x</v>
      </c>
      <c r="H53" s="486" t="str">
        <f>+WPF_Analiza!H69</f>
        <v>x</v>
      </c>
      <c r="I53" s="486" t="str">
        <f>+WPF_Analiza!I69</f>
        <v>x</v>
      </c>
      <c r="J53" s="486" t="str">
        <f>+WPF_Analiza!J69</f>
        <v>x</v>
      </c>
      <c r="K53" s="486" t="str">
        <f>+WPF_Analiza!K69</f>
        <v>x</v>
      </c>
      <c r="L53" s="486" t="str">
        <f>+WPF_Analiza!L69</f>
        <v>x</v>
      </c>
      <c r="M53" s="486" t="str">
        <f>+WPF_Analiza!M69</f>
        <v>x</v>
      </c>
      <c r="N53" s="488">
        <f>+WPF_Analiza!N69</f>
        <v>0.14810000000000001</v>
      </c>
      <c r="O53" s="488">
        <f>+WPF_Analiza!O69</f>
        <v>0.13919999999999999</v>
      </c>
      <c r="P53" s="488">
        <f>+WPF_Analiza!P69</f>
        <v>0.1249</v>
      </c>
      <c r="Q53" s="488">
        <f>+WPF_Analiza!Q69</f>
        <v>0.11559999999999999</v>
      </c>
      <c r="R53" s="488">
        <f>+WPF_Analiza!R69</f>
        <v>0.10050000000000001</v>
      </c>
      <c r="S53" s="488">
        <f>+WPF_Analiza!S69</f>
        <v>8.8400000000000006E-2</v>
      </c>
      <c r="T53" s="488">
        <f>+WPF_Analiza!T69</f>
        <v>8.3299999999999999E-2</v>
      </c>
      <c r="U53" s="488">
        <f>+WPF_Analiza!U69</f>
        <v>8.9300000000000004E-2</v>
      </c>
      <c r="V53" s="488">
        <f>+WPF_Analiza!V69</f>
        <v>0.10050000000000001</v>
      </c>
      <c r="W53" s="488">
        <f>+WPF_Analiza!W69</f>
        <v>0.1086</v>
      </c>
      <c r="X53" s="488">
        <f>+WPF_Analiza!X69</f>
        <v>0.1174</v>
      </c>
      <c r="Y53" s="488">
        <f>+WPF_Analiza!Y69</f>
        <v>0.12470000000000001</v>
      </c>
      <c r="Z53" s="488">
        <f>+WPF_Analiza!Z69</f>
        <v>0</v>
      </c>
      <c r="AA53" s="488">
        <f>+WPF_Analiza!AA69</f>
        <v>0</v>
      </c>
      <c r="AB53" s="488">
        <f>+WPF_Analiza!AB69</f>
        <v>0</v>
      </c>
      <c r="AC53" s="488">
        <f>+WPF_Analiza!AC69</f>
        <v>0</v>
      </c>
      <c r="AD53" s="488">
        <f>+WPF_Analiza!AD69</f>
        <v>0</v>
      </c>
      <c r="AE53" s="488">
        <f>+WPF_Analiza!AE69</f>
        <v>0</v>
      </c>
      <c r="AF53" s="488">
        <f>+WPF_Analiza!AF69</f>
        <v>0</v>
      </c>
      <c r="AG53" s="488">
        <f>+WPF_Analiza!AG69</f>
        <v>0</v>
      </c>
      <c r="AH53" s="488">
        <f>+WPF_Analiza!AH69</f>
        <v>0</v>
      </c>
      <c r="AI53" s="488">
        <f>+WPF_Analiza!AI69</f>
        <v>0</v>
      </c>
      <c r="AJ53" s="488">
        <f>+WPF_Analiza!AJ69</f>
        <v>0</v>
      </c>
      <c r="AK53" s="488">
        <f>+WPF_Analiza!AK69</f>
        <v>0</v>
      </c>
      <c r="AL53" s="488">
        <f>+WPF_Analiza!AL69</f>
        <v>0</v>
      </c>
      <c r="AM53" s="488">
        <f>+WPF_Analiza!AM69</f>
        <v>0</v>
      </c>
      <c r="AN53" s="488">
        <f>+WPF_Analiza!AN69</f>
        <v>0</v>
      </c>
      <c r="AO53" s="488">
        <f>+WPF_Analiza!AO69</f>
        <v>0</v>
      </c>
      <c r="AP53" s="488">
        <f>+WPF_Analiza!AZ69</f>
        <v>0</v>
      </c>
      <c r="AQ53" s="488">
        <f>+WPF_Analiza!BA69</f>
        <v>0</v>
      </c>
    </row>
    <row r="54" spans="3:43" outlineLevel="1">
      <c r="C54" s="270" t="s">
        <v>281</v>
      </c>
      <c r="D54" s="486" t="s">
        <v>547</v>
      </c>
      <c r="E54" s="486"/>
      <c r="F54" s="486" t="str">
        <f>+WPF_Analiza!F70</f>
        <v>x</v>
      </c>
      <c r="G54" s="486" t="str">
        <f>+WPF_Analiza!G70</f>
        <v>x</v>
      </c>
      <c r="H54" s="486" t="str">
        <f>+WPF_Analiza!H70</f>
        <v>x</v>
      </c>
      <c r="I54" s="486" t="str">
        <f>+WPF_Analiza!I70</f>
        <v>x</v>
      </c>
      <c r="J54" s="486" t="str">
        <f>+WPF_Analiza!J70</f>
        <v>x</v>
      </c>
      <c r="K54" s="486" t="str">
        <f>+WPF_Analiza!K70</f>
        <v>x</v>
      </c>
      <c r="L54" s="486" t="str">
        <f>+WPF_Analiza!L70</f>
        <v>x</v>
      </c>
      <c r="M54" s="486" t="str">
        <f>+WPF_Analiza!M70</f>
        <v>x</v>
      </c>
      <c r="N54" s="488">
        <f>+WPF_Analiza!N70</f>
        <v>0.1769</v>
      </c>
      <c r="O54" s="488">
        <f>+WPF_Analiza!O70</f>
        <v>0.16789999999999999</v>
      </c>
      <c r="P54" s="488">
        <f>+WPF_Analiza!P70</f>
        <v>0.15359999999999999</v>
      </c>
      <c r="Q54" s="488">
        <f>+WPF_Analiza!Q70</f>
        <v>0.1444</v>
      </c>
      <c r="R54" s="488">
        <f>+WPF_Analiza!R70</f>
        <v>0.11749999999999999</v>
      </c>
      <c r="S54" s="488">
        <f>+WPF_Analiza!S70</f>
        <v>0.10539999999999999</v>
      </c>
      <c r="T54" s="488">
        <f>+WPF_Analiza!T70</f>
        <v>0.1003</v>
      </c>
      <c r="U54" s="488">
        <f>+WPF_Analiza!U70</f>
        <v>8.9300000000000004E-2</v>
      </c>
      <c r="V54" s="488">
        <f>+WPF_Analiza!V70</f>
        <v>0.10050000000000001</v>
      </c>
      <c r="W54" s="488">
        <f>+WPF_Analiza!W70</f>
        <v>0.1086</v>
      </c>
      <c r="X54" s="488">
        <f>+WPF_Analiza!X70</f>
        <v>0.1174</v>
      </c>
      <c r="Y54" s="488">
        <f>+WPF_Analiza!Y70</f>
        <v>0.12470000000000001</v>
      </c>
      <c r="Z54" s="488">
        <f>+WPF_Analiza!Z70</f>
        <v>0</v>
      </c>
      <c r="AA54" s="488">
        <f>+WPF_Analiza!AA70</f>
        <v>0</v>
      </c>
      <c r="AB54" s="488">
        <f>+WPF_Analiza!AB70</f>
        <v>0</v>
      </c>
      <c r="AC54" s="488">
        <f>+WPF_Analiza!AC70</f>
        <v>0</v>
      </c>
      <c r="AD54" s="488">
        <f>+WPF_Analiza!AD70</f>
        <v>0</v>
      </c>
      <c r="AE54" s="488">
        <f>+WPF_Analiza!AE70</f>
        <v>0</v>
      </c>
      <c r="AF54" s="488">
        <f>+WPF_Analiza!AF70</f>
        <v>0</v>
      </c>
      <c r="AG54" s="488">
        <f>+WPF_Analiza!AG70</f>
        <v>0</v>
      </c>
      <c r="AH54" s="488">
        <f>+WPF_Analiza!AH70</f>
        <v>0</v>
      </c>
      <c r="AI54" s="488">
        <f>+WPF_Analiza!AI70</f>
        <v>0</v>
      </c>
      <c r="AJ54" s="488">
        <f>+WPF_Analiza!AJ70</f>
        <v>0</v>
      </c>
      <c r="AK54" s="488">
        <f>+WPF_Analiza!AK70</f>
        <v>0</v>
      </c>
      <c r="AL54" s="488">
        <f>+WPF_Analiza!AL70</f>
        <v>0</v>
      </c>
      <c r="AM54" s="488">
        <f>+WPF_Analiza!AM70</f>
        <v>0</v>
      </c>
      <c r="AN54" s="488">
        <f>+WPF_Analiza!AN70</f>
        <v>0</v>
      </c>
      <c r="AO54" s="488">
        <f>+WPF_Analiza!AO70</f>
        <v>0</v>
      </c>
      <c r="AP54" s="488">
        <f>+WPF_Analiza!AZ70</f>
        <v>0</v>
      </c>
      <c r="AQ54" s="488">
        <f>+WPF_Analiza!BA70</f>
        <v>0</v>
      </c>
    </row>
    <row r="55" spans="3:43" outlineLevel="1">
      <c r="C55" s="270" t="s">
        <v>304</v>
      </c>
      <c r="D55" s="486" t="s">
        <v>548</v>
      </c>
      <c r="E55" s="486"/>
      <c r="F55" s="486" t="str">
        <f>+WPF_Analiza!F71</f>
        <v>x</v>
      </c>
      <c r="G55" s="486" t="str">
        <f>+WPF_Analiza!G71</f>
        <v>x</v>
      </c>
      <c r="H55" s="486" t="str">
        <f>+WPF_Analiza!H71</f>
        <v>x</v>
      </c>
      <c r="I55" s="486" t="str">
        <f>+WPF_Analiza!I71</f>
        <v>x</v>
      </c>
      <c r="J55" s="486" t="str">
        <f>+WPF_Analiza!J71</f>
        <v>x</v>
      </c>
      <c r="K55" s="486" t="str">
        <f>+WPF_Analiza!K71</f>
        <v>x</v>
      </c>
      <c r="L55" s="486" t="str">
        <f>+WPF_Analiza!L71</f>
        <v>x</v>
      </c>
      <c r="M55" s="486" t="str">
        <f>+WPF_Analiza!M71</f>
        <v>x</v>
      </c>
      <c r="N55" s="489" t="str">
        <f>+WPF_Analiza!N71</f>
        <v>Spełniona</v>
      </c>
      <c r="O55" s="489" t="str">
        <f>+WPF_Analiza!O71</f>
        <v>Spełniona</v>
      </c>
      <c r="P55" s="489" t="str">
        <f>+WPF_Analiza!P71</f>
        <v>Spełniona</v>
      </c>
      <c r="Q55" s="489" t="str">
        <f>+WPF_Analiza!Q71</f>
        <v>Spełniona</v>
      </c>
      <c r="R55" s="489" t="str">
        <f>+WPF_Analiza!R71</f>
        <v>Spełniona</v>
      </c>
      <c r="S55" s="489" t="str">
        <f>+WPF_Analiza!S71</f>
        <v>Spełniona</v>
      </c>
      <c r="T55" s="489" t="str">
        <f>+WPF_Analiza!T71</f>
        <v>Spełniona</v>
      </c>
      <c r="U55" s="489" t="str">
        <f>+WPF_Analiza!U71</f>
        <v>Spełniona</v>
      </c>
      <c r="V55" s="489" t="str">
        <f>+WPF_Analiza!V71</f>
        <v>Spełniona</v>
      </c>
      <c r="W55" s="489" t="str">
        <f>+WPF_Analiza!W71</f>
        <v>Spełniona</v>
      </c>
      <c r="X55" s="489" t="str">
        <f>+WPF_Analiza!X71</f>
        <v>Spełniona</v>
      </c>
      <c r="Y55" s="489" t="str">
        <f>+WPF_Analiza!Y71</f>
        <v>Spełniona</v>
      </c>
      <c r="Z55" s="489">
        <f>+WPF_Analiza!Z71</f>
        <v>0</v>
      </c>
      <c r="AA55" s="489">
        <f>+WPF_Analiza!AA71</f>
        <v>0</v>
      </c>
      <c r="AB55" s="489">
        <f>+WPF_Analiza!AB71</f>
        <v>0</v>
      </c>
      <c r="AC55" s="489">
        <f>+WPF_Analiza!AC71</f>
        <v>0</v>
      </c>
      <c r="AD55" s="489">
        <f>+WPF_Analiza!AD71</f>
        <v>0</v>
      </c>
      <c r="AE55" s="489">
        <f>+WPF_Analiza!AE71</f>
        <v>0</v>
      </c>
      <c r="AF55" s="489">
        <f>+WPF_Analiza!AF71</f>
        <v>0</v>
      </c>
      <c r="AG55" s="489">
        <f>+WPF_Analiza!AG71</f>
        <v>0</v>
      </c>
      <c r="AH55" s="489">
        <f>+WPF_Analiza!AH71</f>
        <v>0</v>
      </c>
      <c r="AI55" s="489">
        <f>+WPF_Analiza!AI71</f>
        <v>0</v>
      </c>
      <c r="AJ55" s="489">
        <f>+WPF_Analiza!AJ71</f>
        <v>0</v>
      </c>
      <c r="AK55" s="489">
        <f>+WPF_Analiza!AK71</f>
        <v>0</v>
      </c>
      <c r="AL55" s="489">
        <f>+WPF_Analiza!AL71</f>
        <v>0</v>
      </c>
      <c r="AM55" s="489">
        <f>+WPF_Analiza!AM71</f>
        <v>0</v>
      </c>
      <c r="AN55" s="489">
        <f>+WPF_Analiza!AN71</f>
        <v>0</v>
      </c>
      <c r="AO55" s="489">
        <f>+WPF_Analiza!AO71</f>
        <v>0</v>
      </c>
      <c r="AP55" s="489">
        <f>+WPF_Analiza!AZ71</f>
        <v>0</v>
      </c>
      <c r="AQ55" s="489">
        <f>+WPF_Analiza!BA71</f>
        <v>0</v>
      </c>
    </row>
    <row r="56" spans="3:43" ht="27" outlineLevel="1">
      <c r="C56" s="270" t="s">
        <v>282</v>
      </c>
      <c r="D56" s="486" t="s">
        <v>549</v>
      </c>
      <c r="E56" s="486"/>
      <c r="F56" s="486" t="str">
        <f>+WPF_Analiza!F72</f>
        <v>x</v>
      </c>
      <c r="G56" s="486" t="str">
        <f>+WPF_Analiza!G72</f>
        <v>x</v>
      </c>
      <c r="H56" s="486" t="str">
        <f>+WPF_Analiza!H72</f>
        <v>x</v>
      </c>
      <c r="I56" s="486" t="str">
        <f>+WPF_Analiza!I72</f>
        <v>x</v>
      </c>
      <c r="J56" s="486" t="str">
        <f>+WPF_Analiza!J72</f>
        <v>x</v>
      </c>
      <c r="K56" s="486" t="str">
        <f>+WPF_Analiza!K72</f>
        <v>x</v>
      </c>
      <c r="L56" s="486" t="str">
        <f>+WPF_Analiza!L72</f>
        <v>x</v>
      </c>
      <c r="M56" s="486" t="str">
        <f>+WPF_Analiza!M72</f>
        <v>x</v>
      </c>
      <c r="N56" s="489" t="str">
        <f>+WPF_Analiza!N72</f>
        <v>Spełniona</v>
      </c>
      <c r="O56" s="489" t="str">
        <f>+WPF_Analiza!O72</f>
        <v>Spełniona</v>
      </c>
      <c r="P56" s="489" t="str">
        <f>+WPF_Analiza!P72</f>
        <v>Spełniona</v>
      </c>
      <c r="Q56" s="489" t="str">
        <f>+WPF_Analiza!Q72</f>
        <v>Spełniona</v>
      </c>
      <c r="R56" s="489" t="str">
        <f>+WPF_Analiza!R72</f>
        <v>Spełniona</v>
      </c>
      <c r="S56" s="489" t="str">
        <f>+WPF_Analiza!S72</f>
        <v>Spełniona</v>
      </c>
      <c r="T56" s="489" t="str">
        <f>+WPF_Analiza!T72</f>
        <v>Spełniona</v>
      </c>
      <c r="U56" s="489" t="str">
        <f>+WPF_Analiza!U72</f>
        <v>Spełniona</v>
      </c>
      <c r="V56" s="489" t="str">
        <f>+WPF_Analiza!V72</f>
        <v>Spełniona</v>
      </c>
      <c r="W56" s="489" t="str">
        <f>+WPF_Analiza!W72</f>
        <v>Spełniona</v>
      </c>
      <c r="X56" s="489" t="str">
        <f>+WPF_Analiza!X72</f>
        <v>Spełniona</v>
      </c>
      <c r="Y56" s="489" t="str">
        <f>+WPF_Analiza!Y72</f>
        <v>Spełniona</v>
      </c>
      <c r="Z56" s="489">
        <f>+WPF_Analiza!Z72</f>
        <v>0</v>
      </c>
      <c r="AA56" s="489">
        <f>+WPF_Analiza!AA72</f>
        <v>0</v>
      </c>
      <c r="AB56" s="489">
        <f>+WPF_Analiza!AB72</f>
        <v>0</v>
      </c>
      <c r="AC56" s="489">
        <f>+WPF_Analiza!AC72</f>
        <v>0</v>
      </c>
      <c r="AD56" s="489">
        <f>+WPF_Analiza!AD72</f>
        <v>0</v>
      </c>
      <c r="AE56" s="489">
        <f>+WPF_Analiza!AE72</f>
        <v>0</v>
      </c>
      <c r="AF56" s="489">
        <f>+WPF_Analiza!AF72</f>
        <v>0</v>
      </c>
      <c r="AG56" s="489">
        <f>+WPF_Analiza!AG72</f>
        <v>0</v>
      </c>
      <c r="AH56" s="489">
        <f>+WPF_Analiza!AH72</f>
        <v>0</v>
      </c>
      <c r="AI56" s="489">
        <f>+WPF_Analiza!AI72</f>
        <v>0</v>
      </c>
      <c r="AJ56" s="489">
        <f>+WPF_Analiza!AJ72</f>
        <v>0</v>
      </c>
      <c r="AK56" s="489">
        <f>+WPF_Analiza!AK72</f>
        <v>0</v>
      </c>
      <c r="AL56" s="489">
        <f>+WPF_Analiza!AL72</f>
        <v>0</v>
      </c>
      <c r="AM56" s="489">
        <f>+WPF_Analiza!AM72</f>
        <v>0</v>
      </c>
      <c r="AN56" s="489">
        <f>+WPF_Analiza!AN72</f>
        <v>0</v>
      </c>
      <c r="AO56" s="489">
        <f>+WPF_Analiza!AO72</f>
        <v>0</v>
      </c>
      <c r="AP56" s="489">
        <f>+WPF_Analiza!AZ72</f>
        <v>0</v>
      </c>
      <c r="AQ56" s="489">
        <f>+WPF_Analiza!BA72</f>
        <v>0</v>
      </c>
    </row>
    <row r="57" spans="3:43">
      <c r="C57" s="258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</row>
    <row r="58" spans="3:43" ht="15.75">
      <c r="C58" s="258"/>
      <c r="D58" s="485" t="s">
        <v>490</v>
      </c>
      <c r="E58" s="486"/>
      <c r="F58" s="486"/>
      <c r="G58" s="486"/>
      <c r="H58" s="486"/>
      <c r="I58" s="486"/>
      <c r="J58" s="486"/>
      <c r="K58" s="486"/>
      <c r="L58" s="486"/>
      <c r="M58" s="486"/>
      <c r="N58" s="211">
        <f>+N$2</f>
        <v>2022</v>
      </c>
      <c r="O58" s="211">
        <f t="shared" ref="O58:AQ58" si="17">+O$2</f>
        <v>2023</v>
      </c>
      <c r="P58" s="211">
        <f t="shared" si="17"/>
        <v>2024</v>
      </c>
      <c r="Q58" s="211">
        <f t="shared" si="17"/>
        <v>2025</v>
      </c>
      <c r="R58" s="211">
        <f t="shared" si="17"/>
        <v>2026</v>
      </c>
      <c r="S58" s="211">
        <f t="shared" si="17"/>
        <v>2027</v>
      </c>
      <c r="T58" s="211">
        <f t="shared" si="17"/>
        <v>2028</v>
      </c>
      <c r="U58" s="211">
        <f t="shared" si="17"/>
        <v>2029</v>
      </c>
      <c r="V58" s="211">
        <f t="shared" si="17"/>
        <v>2030</v>
      </c>
      <c r="W58" s="211">
        <f t="shared" si="17"/>
        <v>2031</v>
      </c>
      <c r="X58" s="211">
        <f t="shared" si="17"/>
        <v>2032</v>
      </c>
      <c r="Y58" s="211">
        <f t="shared" si="17"/>
        <v>2033</v>
      </c>
      <c r="Z58" s="211">
        <f t="shared" si="17"/>
        <v>2034</v>
      </c>
      <c r="AA58" s="211">
        <f t="shared" si="17"/>
        <v>2035</v>
      </c>
      <c r="AB58" s="211">
        <f t="shared" si="17"/>
        <v>2036</v>
      </c>
      <c r="AC58" s="211">
        <f t="shared" si="17"/>
        <v>2037</v>
      </c>
      <c r="AD58" s="211">
        <f t="shared" si="17"/>
        <v>2038</v>
      </c>
      <c r="AE58" s="211">
        <f t="shared" si="17"/>
        <v>2039</v>
      </c>
      <c r="AF58" s="211">
        <f t="shared" si="17"/>
        <v>2040</v>
      </c>
      <c r="AG58" s="211">
        <f t="shared" si="17"/>
        <v>2041</v>
      </c>
      <c r="AH58" s="211">
        <f t="shared" si="17"/>
        <v>2042</v>
      </c>
      <c r="AI58" s="211">
        <f t="shared" si="17"/>
        <v>2043</v>
      </c>
      <c r="AJ58" s="211">
        <f t="shared" si="17"/>
        <v>2044</v>
      </c>
      <c r="AK58" s="211">
        <f t="shared" si="17"/>
        <v>2045</v>
      </c>
      <c r="AL58" s="211">
        <f t="shared" si="17"/>
        <v>2046</v>
      </c>
      <c r="AM58" s="211">
        <f t="shared" si="17"/>
        <v>2047</v>
      </c>
      <c r="AN58" s="211">
        <f t="shared" si="17"/>
        <v>2048</v>
      </c>
      <c r="AO58" s="211">
        <f t="shared" si="17"/>
        <v>2049</v>
      </c>
      <c r="AP58" s="211">
        <f t="shared" si="17"/>
        <v>2050</v>
      </c>
      <c r="AQ58" s="211">
        <f t="shared" si="17"/>
        <v>2051</v>
      </c>
    </row>
    <row r="59" spans="3:43" outlineLevel="1">
      <c r="C59" s="270" t="s">
        <v>491</v>
      </c>
      <c r="D59" s="486" t="s">
        <v>576</v>
      </c>
      <c r="E59" s="486"/>
      <c r="F59" s="486" t="str">
        <f>+WPF_bazowy!F171</f>
        <v>x</v>
      </c>
      <c r="G59" s="486" t="str">
        <f>+WPF_bazowy!G171</f>
        <v>x</v>
      </c>
      <c r="H59" s="486" t="str">
        <f>+WPF_bazowy!H171</f>
        <v>x</v>
      </c>
      <c r="I59" s="486" t="str">
        <f>+WPF_bazowy!I171</f>
        <v>x</v>
      </c>
      <c r="J59" s="486" t="str">
        <f>+WPF_bazowy!J171</f>
        <v>x</v>
      </c>
      <c r="K59" s="486" t="str">
        <f>+WPF_bazowy!K171</f>
        <v>x</v>
      </c>
      <c r="L59" s="486" t="str">
        <f>+WPF_bazowy!L171</f>
        <v>x</v>
      </c>
      <c r="M59" s="486" t="str">
        <f>+WPF_bazowy!M171</f>
        <v>x</v>
      </c>
      <c r="N59" s="487" t="str">
        <f>+WPF_bazowy!N137</f>
        <v>OK</v>
      </c>
      <c r="O59" s="487" t="str">
        <f>+WPF_bazowy!O137</f>
        <v>OK</v>
      </c>
      <c r="P59" s="487" t="str">
        <f>+WPF_bazowy!P137</f>
        <v>OK</v>
      </c>
      <c r="Q59" s="487" t="str">
        <f>+WPF_bazowy!Q137</f>
        <v>OK</v>
      </c>
      <c r="R59" s="487" t="str">
        <f>+WPF_bazowy!R137</f>
        <v>OK</v>
      </c>
      <c r="S59" s="487" t="str">
        <f>+WPF_bazowy!S137</f>
        <v>OK</v>
      </c>
      <c r="T59" s="487" t="str">
        <f>+WPF_bazowy!T137</f>
        <v>OK</v>
      </c>
      <c r="U59" s="487" t="str">
        <f>+WPF_bazowy!U137</f>
        <v>OK</v>
      </c>
      <c r="V59" s="487" t="str">
        <f>+WPF_bazowy!V137</f>
        <v>OK</v>
      </c>
      <c r="W59" s="487" t="str">
        <f>+WPF_bazowy!W137</f>
        <v>OK</v>
      </c>
      <c r="X59" s="487" t="str">
        <f>+WPF_bazowy!X137</f>
        <v>OK</v>
      </c>
      <c r="Y59" s="487" t="str">
        <f>+WPF_bazowy!Y137</f>
        <v>OK</v>
      </c>
      <c r="Z59" s="487" t="str">
        <f>+WPF_bazowy!Z137</f>
        <v>OK</v>
      </c>
      <c r="AA59" s="487" t="str">
        <f>+WPF_bazowy!AA137</f>
        <v>OK</v>
      </c>
      <c r="AB59" s="487" t="str">
        <f>+WPF_bazowy!AB137</f>
        <v>OK</v>
      </c>
      <c r="AC59" s="487" t="str">
        <f>+WPF_bazowy!AC137</f>
        <v>OK</v>
      </c>
      <c r="AD59" s="487" t="str">
        <f>+WPF_bazowy!AD137</f>
        <v>OK</v>
      </c>
      <c r="AE59" s="487" t="str">
        <f>+WPF_bazowy!AE137</f>
        <v>OK</v>
      </c>
      <c r="AF59" s="487" t="str">
        <f>+WPF_bazowy!AF137</f>
        <v>OK</v>
      </c>
      <c r="AG59" s="487" t="str">
        <f>+WPF_bazowy!AG137</f>
        <v>OK</v>
      </c>
      <c r="AH59" s="487" t="str">
        <f>+WPF_bazowy!AH137</f>
        <v>OK</v>
      </c>
      <c r="AI59" s="487" t="str">
        <f>+WPF_bazowy!AI137</f>
        <v>OK</v>
      </c>
      <c r="AJ59" s="487" t="str">
        <f>+WPF_bazowy!AJ137</f>
        <v>OK</v>
      </c>
      <c r="AK59" s="487" t="str">
        <f>+WPF_bazowy!AK137</f>
        <v>OK</v>
      </c>
      <c r="AL59" s="487" t="str">
        <f>+WPF_bazowy!AL137</f>
        <v>OK</v>
      </c>
      <c r="AM59" s="487" t="str">
        <f>+WPF_bazowy!AM137</f>
        <v>OK</v>
      </c>
      <c r="AN59" s="487" t="str">
        <f>+WPF_bazowy!AN137</f>
        <v>OK</v>
      </c>
      <c r="AO59" s="487" t="str">
        <f>+WPF_bazowy!AO137</f>
        <v>OK</v>
      </c>
      <c r="AP59" s="487" t="str">
        <f>+WPF_bazowy!AP137</f>
        <v>OK</v>
      </c>
      <c r="AQ59" s="487" t="str">
        <f>+WPF_bazowy!BA137</f>
        <v>OK</v>
      </c>
    </row>
    <row r="60" spans="3:43" outlineLevel="1">
      <c r="C60" s="270" t="s">
        <v>301</v>
      </c>
      <c r="D60" s="486" t="s">
        <v>102</v>
      </c>
      <c r="E60" s="486"/>
      <c r="F60" s="487">
        <f>+WPF_bazowy!F60</f>
        <v>2352561.5</v>
      </c>
      <c r="G60" s="487">
        <f>+WPF_bazowy!G60</f>
        <v>4353198.4800000004</v>
      </c>
      <c r="H60" s="487">
        <f>+WPF_bazowy!H60</f>
        <v>3565984.06</v>
      </c>
      <c r="I60" s="487">
        <f>+WPF_bazowy!I60</f>
        <v>4245842.47</v>
      </c>
      <c r="J60" s="487">
        <f>+WPF_bazowy!J60</f>
        <v>5872693.0700000003</v>
      </c>
      <c r="K60" s="487">
        <f>+WPF_bazowy!K60</f>
        <v>4586950.83</v>
      </c>
      <c r="L60" s="487">
        <f>+WPF_bazowy!L60</f>
        <v>2120038</v>
      </c>
      <c r="M60" s="487">
        <f>+WPF_bazowy!M60</f>
        <v>8749720.2599999998</v>
      </c>
      <c r="N60" s="487">
        <f>+WPF_bazowy!N60</f>
        <v>1058265</v>
      </c>
      <c r="O60" s="487">
        <f>+WPF_bazowy!O60</f>
        <v>1904854</v>
      </c>
      <c r="P60" s="487">
        <f>+WPF_bazowy!P60</f>
        <v>2445284</v>
      </c>
      <c r="Q60" s="487">
        <f>+WPF_bazowy!Q60</f>
        <v>3113533</v>
      </c>
      <c r="R60" s="487">
        <f>+WPF_bazowy!R60</f>
        <v>3816905</v>
      </c>
      <c r="S60" s="487">
        <f>+WPF_bazowy!S60</f>
        <v>4498543</v>
      </c>
      <c r="T60" s="487">
        <f>+WPF_bazowy!T60</f>
        <v>5146159</v>
      </c>
      <c r="U60" s="487">
        <f>+WPF_bazowy!U60</f>
        <v>5690393</v>
      </c>
      <c r="V60" s="487">
        <f>+WPF_bazowy!V60</f>
        <v>6126926</v>
      </c>
      <c r="W60" s="487">
        <f>+WPF_bazowy!W60</f>
        <v>6514120</v>
      </c>
      <c r="X60" s="487">
        <f>+WPF_bazowy!X60</f>
        <v>6861826</v>
      </c>
      <c r="Y60" s="487">
        <f>+WPF_bazowy!Y60</f>
        <v>7165107</v>
      </c>
      <c r="Z60" s="487">
        <f>+WPF_bazowy!Z60</f>
        <v>0</v>
      </c>
      <c r="AA60" s="487">
        <f>+WPF_bazowy!AA60</f>
        <v>0</v>
      </c>
      <c r="AB60" s="487">
        <f>+WPF_bazowy!AB60</f>
        <v>0</v>
      </c>
      <c r="AC60" s="487">
        <f>+WPF_bazowy!AC60</f>
        <v>0</v>
      </c>
      <c r="AD60" s="487">
        <f>+WPF_bazowy!AD60</f>
        <v>0</v>
      </c>
      <c r="AE60" s="487">
        <f>+WPF_bazowy!AE60</f>
        <v>0</v>
      </c>
      <c r="AF60" s="487">
        <f>+WPF_bazowy!AF60</f>
        <v>0</v>
      </c>
      <c r="AG60" s="487">
        <f>+WPF_bazowy!AG60</f>
        <v>0</v>
      </c>
      <c r="AH60" s="487">
        <f>+WPF_bazowy!AH60</f>
        <v>0</v>
      </c>
      <c r="AI60" s="487">
        <f>+WPF_bazowy!AI60</f>
        <v>0</v>
      </c>
      <c r="AJ60" s="487">
        <f>+WPF_bazowy!AJ60</f>
        <v>0</v>
      </c>
      <c r="AK60" s="487">
        <f>+WPF_bazowy!AK60</f>
        <v>0</v>
      </c>
      <c r="AL60" s="487">
        <f>+WPF_bazowy!AL60</f>
        <v>0</v>
      </c>
      <c r="AM60" s="487">
        <f>+WPF_bazowy!AM60</f>
        <v>0</v>
      </c>
      <c r="AN60" s="487">
        <f>+WPF_bazowy!AN60</f>
        <v>0</v>
      </c>
      <c r="AO60" s="487">
        <f>+WPF_bazowy!AO60</f>
        <v>0</v>
      </c>
      <c r="AP60" s="487">
        <f>+WPF_bazowy!AP60</f>
        <v>0</v>
      </c>
      <c r="AQ60" s="487">
        <f>+WPF_bazowy!BA60</f>
        <v>0</v>
      </c>
    </row>
    <row r="61" spans="3:43" outlineLevel="1">
      <c r="C61" s="270" t="s">
        <v>302</v>
      </c>
      <c r="D61" s="486" t="s">
        <v>544</v>
      </c>
      <c r="E61" s="486"/>
      <c r="F61" s="487">
        <f>+WPF_bazowy!F61</f>
        <v>2352561.5</v>
      </c>
      <c r="G61" s="487">
        <f>+WPF_bazowy!G61</f>
        <v>4353198.4800000004</v>
      </c>
      <c r="H61" s="487">
        <f>+WPF_bazowy!H61</f>
        <v>3565984.06</v>
      </c>
      <c r="I61" s="487">
        <f>+WPF_bazowy!I61</f>
        <v>4245842.47</v>
      </c>
      <c r="J61" s="487">
        <f>+WPF_bazowy!J61</f>
        <v>7572121.6299999999</v>
      </c>
      <c r="K61" s="487">
        <f>+WPF_bazowy!K61</f>
        <v>11493498.460000001</v>
      </c>
      <c r="L61" s="487">
        <f>+WPF_bazowy!L61</f>
        <v>12710038</v>
      </c>
      <c r="M61" s="487">
        <f>+WPF_bazowy!M61</f>
        <v>19381193.100000001</v>
      </c>
      <c r="N61" s="487">
        <f>+WPF_bazowy!N61</f>
        <v>9220803</v>
      </c>
      <c r="O61" s="487">
        <f>+WPF_bazowy!O61</f>
        <v>1904854</v>
      </c>
      <c r="P61" s="487">
        <f>+WPF_bazowy!P61</f>
        <v>2445284</v>
      </c>
      <c r="Q61" s="487">
        <f>+WPF_bazowy!Q61</f>
        <v>3113533</v>
      </c>
      <c r="R61" s="487">
        <f>+WPF_bazowy!R61</f>
        <v>3816905</v>
      </c>
      <c r="S61" s="487">
        <f>+WPF_bazowy!S61</f>
        <v>4498543</v>
      </c>
      <c r="T61" s="487">
        <f>+WPF_bazowy!T61</f>
        <v>5146159</v>
      </c>
      <c r="U61" s="487">
        <f>+WPF_bazowy!U61</f>
        <v>5690393</v>
      </c>
      <c r="V61" s="487">
        <f>+WPF_bazowy!V61</f>
        <v>6126926</v>
      </c>
      <c r="W61" s="487">
        <f>+WPF_bazowy!W61</f>
        <v>6514120</v>
      </c>
      <c r="X61" s="487">
        <f>+WPF_bazowy!X61</f>
        <v>6861826</v>
      </c>
      <c r="Y61" s="487">
        <f>+WPF_bazowy!Y61</f>
        <v>7165107</v>
      </c>
      <c r="Z61" s="487">
        <f>+WPF_bazowy!Z61</f>
        <v>0</v>
      </c>
      <c r="AA61" s="487">
        <f>+WPF_bazowy!AA61</f>
        <v>0</v>
      </c>
      <c r="AB61" s="487">
        <f>+WPF_bazowy!AB61</f>
        <v>0</v>
      </c>
      <c r="AC61" s="487">
        <f>+WPF_bazowy!AC61</f>
        <v>0</v>
      </c>
      <c r="AD61" s="487">
        <f>+WPF_bazowy!AD61</f>
        <v>0</v>
      </c>
      <c r="AE61" s="487">
        <f>+WPF_bazowy!AE61</f>
        <v>0</v>
      </c>
      <c r="AF61" s="487">
        <f>+WPF_bazowy!AF61</f>
        <v>0</v>
      </c>
      <c r="AG61" s="487">
        <f>+WPF_bazowy!AG61</f>
        <v>0</v>
      </c>
      <c r="AH61" s="487">
        <f>+WPF_bazowy!AH61</f>
        <v>0</v>
      </c>
      <c r="AI61" s="487">
        <f>+WPF_bazowy!AI61</f>
        <v>0</v>
      </c>
      <c r="AJ61" s="487">
        <f>+WPF_bazowy!AJ61</f>
        <v>0</v>
      </c>
      <c r="AK61" s="487">
        <f>+WPF_bazowy!AK61</f>
        <v>0</v>
      </c>
      <c r="AL61" s="487">
        <f>+WPF_bazowy!AL61</f>
        <v>0</v>
      </c>
      <c r="AM61" s="487">
        <f>+WPF_bazowy!AM61</f>
        <v>0</v>
      </c>
      <c r="AN61" s="487">
        <f>+WPF_bazowy!AN61</f>
        <v>0</v>
      </c>
      <c r="AO61" s="487">
        <f>+WPF_bazowy!AO61</f>
        <v>0</v>
      </c>
      <c r="AP61" s="487">
        <f>+WPF_bazowy!AP61</f>
        <v>0</v>
      </c>
      <c r="AQ61" s="487">
        <f>+WPF_bazowy!BA61</f>
        <v>0</v>
      </c>
    </row>
    <row r="62" spans="3:43" ht="27" outlineLevel="1">
      <c r="C62" s="270" t="s">
        <v>63</v>
      </c>
      <c r="D62" s="486" t="s">
        <v>545</v>
      </c>
      <c r="E62" s="486"/>
      <c r="F62" s="486" t="str">
        <f>+WPF_bazowy!F63</f>
        <v>x</v>
      </c>
      <c r="G62" s="486" t="str">
        <f>+WPF_bazowy!G63</f>
        <v>x</v>
      </c>
      <c r="H62" s="486" t="str">
        <f>+WPF_bazowy!H63</f>
        <v>x</v>
      </c>
      <c r="I62" s="486" t="str">
        <f>+WPF_bazowy!I63</f>
        <v>x</v>
      </c>
      <c r="J62" s="486" t="str">
        <f>+WPF_bazowy!J63</f>
        <v>x</v>
      </c>
      <c r="K62" s="486" t="str">
        <f>+WPF_bazowy!K63</f>
        <v>x</v>
      </c>
      <c r="L62" s="486" t="str">
        <f>+WPF_bazowy!L63</f>
        <v>x</v>
      </c>
      <c r="M62" s="486" t="str">
        <f>+WPF_bazowy!M63</f>
        <v>x</v>
      </c>
      <c r="N62" s="488">
        <f>+WPF_bazowy!N63</f>
        <v>9.7999999999999997E-3</v>
      </c>
      <c r="O62" s="488">
        <f>+WPF_bazowy!O63</f>
        <v>6.83E-2</v>
      </c>
      <c r="P62" s="488">
        <f>+WPF_bazowy!P63</f>
        <v>6.2199999999999998E-2</v>
      </c>
      <c r="Q62" s="488">
        <f>+WPF_bazowy!Q63</f>
        <v>6.0699999999999997E-2</v>
      </c>
      <c r="R62" s="488">
        <f>+WPF_bazowy!R63</f>
        <v>5.7099999999999998E-2</v>
      </c>
      <c r="S62" s="488">
        <f>+WPF_bazowy!S63</f>
        <v>5.3699999999999998E-2</v>
      </c>
      <c r="T62" s="488">
        <f>+WPF_bazowy!T63</f>
        <v>3.95E-2</v>
      </c>
      <c r="U62" s="488">
        <f>+WPF_bazowy!U63</f>
        <v>3.7400000000000003E-2</v>
      </c>
      <c r="V62" s="488">
        <f>+WPF_bazowy!V63</f>
        <v>3.5499999999999997E-2</v>
      </c>
      <c r="W62" s="488">
        <f>+WPF_bazowy!W63</f>
        <v>3.3799999999999997E-2</v>
      </c>
      <c r="X62" s="488">
        <f>+WPF_bazowy!X63</f>
        <v>3.6999999999999998E-2</v>
      </c>
      <c r="Y62" s="488">
        <f>+WPF_bazowy!Y63</f>
        <v>3.4799999999999998E-2</v>
      </c>
      <c r="Z62" s="488">
        <f>+WPF_bazowy!Z63</f>
        <v>0</v>
      </c>
      <c r="AA62" s="488">
        <f>+WPF_bazowy!AA63</f>
        <v>0</v>
      </c>
      <c r="AB62" s="488">
        <f>+WPF_bazowy!AB63</f>
        <v>0</v>
      </c>
      <c r="AC62" s="488">
        <f>+WPF_bazowy!AC63</f>
        <v>0</v>
      </c>
      <c r="AD62" s="488">
        <f>+WPF_bazowy!AD63</f>
        <v>0</v>
      </c>
      <c r="AE62" s="488">
        <f>+WPF_bazowy!AE63</f>
        <v>0</v>
      </c>
      <c r="AF62" s="488">
        <f>+WPF_bazowy!AF63</f>
        <v>0</v>
      </c>
      <c r="AG62" s="488">
        <f>+WPF_bazowy!AG63</f>
        <v>0</v>
      </c>
      <c r="AH62" s="488">
        <f>+WPF_bazowy!AH63</f>
        <v>0</v>
      </c>
      <c r="AI62" s="488">
        <f>+WPF_bazowy!AI63</f>
        <v>0</v>
      </c>
      <c r="AJ62" s="488">
        <f>+WPF_bazowy!AJ63</f>
        <v>0</v>
      </c>
      <c r="AK62" s="488">
        <f>+WPF_bazowy!AK63</f>
        <v>0</v>
      </c>
      <c r="AL62" s="488">
        <f>+WPF_bazowy!AL63</f>
        <v>0</v>
      </c>
      <c r="AM62" s="488">
        <f>+WPF_bazowy!AM63</f>
        <v>0</v>
      </c>
      <c r="AN62" s="488">
        <f>+WPF_bazowy!AN63</f>
        <v>0</v>
      </c>
      <c r="AO62" s="488">
        <f>+WPF_bazowy!AO63</f>
        <v>0</v>
      </c>
      <c r="AP62" s="488">
        <f>+WPF_bazowy!AP63</f>
        <v>0</v>
      </c>
      <c r="AQ62" s="488">
        <f>+WPF_bazowy!BA63</f>
        <v>0</v>
      </c>
    </row>
    <row r="63" spans="3:43" outlineLevel="1">
      <c r="C63" s="270" t="s">
        <v>518</v>
      </c>
      <c r="D63" s="486" t="s">
        <v>541</v>
      </c>
      <c r="E63" s="486"/>
      <c r="F63" s="488">
        <f>+WPF_bazowy!F67</f>
        <v>0.114</v>
      </c>
      <c r="G63" s="488">
        <f>+WPF_bazowy!G67</f>
        <v>0.1769</v>
      </c>
      <c r="H63" s="488">
        <f>+WPF_bazowy!H67</f>
        <v>0.1404</v>
      </c>
      <c r="I63" s="488">
        <f>+WPF_bazowy!I67</f>
        <v>0.19009999999999999</v>
      </c>
      <c r="J63" s="488">
        <f>+WPF_bazowy!J67</f>
        <v>0.1867</v>
      </c>
      <c r="K63" s="488">
        <f>+WPF_bazowy!K67</f>
        <v>0.14860000000000001</v>
      </c>
      <c r="L63" s="488">
        <f>+WPF_bazowy!L67</f>
        <v>8.0299999999999996E-2</v>
      </c>
      <c r="M63" s="488">
        <f>+WPF_bazowy!M67</f>
        <v>0.28129999999999999</v>
      </c>
      <c r="N63" s="488">
        <f>+WPF_bazowy!N67</f>
        <v>5.11E-2</v>
      </c>
      <c r="O63" s="488">
        <f>+WPF_bazowy!O67</f>
        <v>7.6899999999999996E-2</v>
      </c>
      <c r="P63" s="488">
        <f>+WPF_bazowy!P67</f>
        <v>7.5800000000000006E-2</v>
      </c>
      <c r="Q63" s="488">
        <f>+WPF_bazowy!Q67</f>
        <v>0</v>
      </c>
      <c r="R63" s="488">
        <f>+WPF_bazowy!R67</f>
        <v>0</v>
      </c>
      <c r="S63" s="488">
        <f>+WPF_bazowy!S67</f>
        <v>0</v>
      </c>
      <c r="T63" s="488">
        <f>+WPF_bazowy!T67</f>
        <v>0</v>
      </c>
      <c r="U63" s="488">
        <f>+WPF_bazowy!U67</f>
        <v>0</v>
      </c>
      <c r="V63" s="488">
        <f>+WPF_bazowy!V67</f>
        <v>0</v>
      </c>
      <c r="W63" s="488">
        <f>+WPF_bazowy!W67</f>
        <v>0</v>
      </c>
      <c r="X63" s="488">
        <f>+WPF_bazowy!X67</f>
        <v>0</v>
      </c>
      <c r="Y63" s="488">
        <f>+WPF_bazowy!Y67</f>
        <v>0</v>
      </c>
      <c r="Z63" s="488">
        <f>+WPF_bazowy!Z67</f>
        <v>0</v>
      </c>
      <c r="AA63" s="488">
        <f>+WPF_bazowy!AA67</f>
        <v>0</v>
      </c>
      <c r="AB63" s="488">
        <f>+WPF_bazowy!AB67</f>
        <v>0</v>
      </c>
      <c r="AC63" s="488">
        <f>+WPF_bazowy!AC67</f>
        <v>0</v>
      </c>
      <c r="AD63" s="488">
        <f>+WPF_bazowy!AD67</f>
        <v>0</v>
      </c>
      <c r="AE63" s="488">
        <f>+WPF_bazowy!AE67</f>
        <v>0</v>
      </c>
      <c r="AF63" s="488">
        <f>+WPF_bazowy!AF67</f>
        <v>0</v>
      </c>
      <c r="AG63" s="488">
        <f>+WPF_bazowy!AG67</f>
        <v>0</v>
      </c>
      <c r="AH63" s="488">
        <f>+WPF_bazowy!AH67</f>
        <v>0</v>
      </c>
      <c r="AI63" s="488">
        <f>+WPF_bazowy!AI67</f>
        <v>0</v>
      </c>
      <c r="AJ63" s="488">
        <f>+WPF_bazowy!AJ67</f>
        <v>0</v>
      </c>
      <c r="AK63" s="488">
        <f>+WPF_bazowy!AK67</f>
        <v>0</v>
      </c>
      <c r="AL63" s="488">
        <f>+WPF_bazowy!AL67</f>
        <v>0</v>
      </c>
      <c r="AM63" s="488">
        <f>+WPF_bazowy!AM67</f>
        <v>0</v>
      </c>
      <c r="AN63" s="488">
        <f>+WPF_bazowy!AN67</f>
        <v>0</v>
      </c>
      <c r="AO63" s="488">
        <f>+WPF_bazowy!AO67</f>
        <v>0</v>
      </c>
      <c r="AP63" s="488">
        <f>+WPF_bazowy!AP67</f>
        <v>0</v>
      </c>
      <c r="AQ63" s="488">
        <f>+WPF_bazowy!BA67</f>
        <v>0</v>
      </c>
    </row>
    <row r="64" spans="3:43" outlineLevel="1">
      <c r="C64" s="270" t="s">
        <v>519</v>
      </c>
      <c r="D64" s="486" t="s">
        <v>542</v>
      </c>
      <c r="E64" s="486"/>
      <c r="F64" s="488">
        <f>+WPF_bazowy!F68</f>
        <v>0.1115</v>
      </c>
      <c r="G64" s="488">
        <f>+WPF_bazowy!G68</f>
        <v>0.17399999999999999</v>
      </c>
      <c r="H64" s="488">
        <f>+WPF_bazowy!H68</f>
        <v>0.13850000000000001</v>
      </c>
      <c r="I64" s="488">
        <f>+WPF_bazowy!I68</f>
        <v>0.14749999999999999</v>
      </c>
      <c r="J64" s="488">
        <f>+WPF_bazowy!J68</f>
        <v>0.18559999999999999</v>
      </c>
      <c r="K64" s="488">
        <f>+WPF_bazowy!K68</f>
        <v>0.1474</v>
      </c>
      <c r="L64" s="488">
        <f>+WPF_bazowy!L68</f>
        <v>7.9500000000000001E-2</v>
      </c>
      <c r="M64" s="488">
        <f>+WPF_bazowy!M68</f>
        <v>0.19850000000000001</v>
      </c>
      <c r="N64" s="488">
        <f>+WPF_bazowy!N68</f>
        <v>5.0299999999999997E-2</v>
      </c>
      <c r="O64" s="488">
        <f>+WPF_bazowy!O68</f>
        <v>7.6899999999999996E-2</v>
      </c>
      <c r="P64" s="488">
        <f>+WPF_bazowy!P68</f>
        <v>7.5800000000000006E-2</v>
      </c>
      <c r="Q64" s="488">
        <f>+WPF_bazowy!Q68</f>
        <v>8.8300000000000003E-2</v>
      </c>
      <c r="R64" s="488">
        <f>+WPF_bazowy!R68</f>
        <v>0.1007</v>
      </c>
      <c r="S64" s="488">
        <f>+WPF_bazowy!S68</f>
        <v>0.11169999999999999</v>
      </c>
      <c r="T64" s="488">
        <f>+WPF_bazowy!T68</f>
        <v>0.1215</v>
      </c>
      <c r="U64" s="488">
        <f>+WPF_bazowy!U68</f>
        <v>0.12870000000000001</v>
      </c>
      <c r="V64" s="488">
        <f>+WPF_bazowy!V68</f>
        <v>0.13350000000000001</v>
      </c>
      <c r="W64" s="488">
        <f>+WPF_bazowy!W68</f>
        <v>0.1371</v>
      </c>
      <c r="X64" s="488">
        <f>+WPF_bazowy!X68</f>
        <v>0.13950000000000001</v>
      </c>
      <c r="Y64" s="488">
        <f>+WPF_bazowy!Y68</f>
        <v>0.14069999999999999</v>
      </c>
      <c r="Z64" s="488">
        <f>+WPF_bazowy!Z68</f>
        <v>0</v>
      </c>
      <c r="AA64" s="488">
        <f>+WPF_bazowy!AA68</f>
        <v>0</v>
      </c>
      <c r="AB64" s="488">
        <f>+WPF_bazowy!AB68</f>
        <v>0</v>
      </c>
      <c r="AC64" s="488">
        <f>+WPF_bazowy!AC68</f>
        <v>0</v>
      </c>
      <c r="AD64" s="488">
        <f>+WPF_bazowy!AD68</f>
        <v>0</v>
      </c>
      <c r="AE64" s="488">
        <f>+WPF_bazowy!AE68</f>
        <v>0</v>
      </c>
      <c r="AF64" s="488">
        <f>+WPF_bazowy!AF68</f>
        <v>0</v>
      </c>
      <c r="AG64" s="488">
        <f>+WPF_bazowy!AG68</f>
        <v>0</v>
      </c>
      <c r="AH64" s="488">
        <f>+WPF_bazowy!AH68</f>
        <v>0</v>
      </c>
      <c r="AI64" s="488">
        <f>+WPF_bazowy!AI68</f>
        <v>0</v>
      </c>
      <c r="AJ64" s="488">
        <f>+WPF_bazowy!AJ68</f>
        <v>0</v>
      </c>
      <c r="AK64" s="488">
        <f>+WPF_bazowy!AK68</f>
        <v>0</v>
      </c>
      <c r="AL64" s="488">
        <f>+WPF_bazowy!AL68</f>
        <v>0</v>
      </c>
      <c r="AM64" s="488">
        <f>+WPF_bazowy!AM68</f>
        <v>0</v>
      </c>
      <c r="AN64" s="488">
        <f>+WPF_bazowy!AN68</f>
        <v>0</v>
      </c>
      <c r="AO64" s="488">
        <f>+WPF_bazowy!AO68</f>
        <v>0</v>
      </c>
      <c r="AP64" s="488">
        <f>+WPF_bazowy!AP68</f>
        <v>0</v>
      </c>
      <c r="AQ64" s="488">
        <f>+WPF_bazowy!BA68</f>
        <v>0</v>
      </c>
    </row>
    <row r="65" spans="3:43" outlineLevel="1">
      <c r="C65" s="270" t="s">
        <v>303</v>
      </c>
      <c r="D65" s="486" t="s">
        <v>546</v>
      </c>
      <c r="E65" s="486"/>
      <c r="F65" s="486" t="str">
        <f>+WPF_bazowy!F69</f>
        <v>x</v>
      </c>
      <c r="G65" s="486" t="str">
        <f>+WPF_bazowy!G69</f>
        <v>x</v>
      </c>
      <c r="H65" s="486" t="str">
        <f>+WPF_bazowy!H69</f>
        <v>x</v>
      </c>
      <c r="I65" s="486" t="str">
        <f>+WPF_bazowy!I69</f>
        <v>x</v>
      </c>
      <c r="J65" s="486" t="str">
        <f>+WPF_bazowy!J69</f>
        <v>x</v>
      </c>
      <c r="K65" s="486" t="str">
        <f>+WPF_bazowy!K69</f>
        <v>x</v>
      </c>
      <c r="L65" s="486" t="str">
        <f>+WPF_bazowy!L69</f>
        <v>x</v>
      </c>
      <c r="M65" s="486" t="str">
        <f>+WPF_bazowy!M69</f>
        <v>x</v>
      </c>
      <c r="N65" s="488">
        <f>+WPF_bazowy!N69</f>
        <v>0.14810000000000001</v>
      </c>
      <c r="O65" s="488">
        <f>+WPF_bazowy!O69</f>
        <v>0.13919999999999999</v>
      </c>
      <c r="P65" s="488">
        <f>+WPF_bazowy!P69</f>
        <v>0.1249</v>
      </c>
      <c r="Q65" s="488">
        <f>+WPF_bazowy!Q69</f>
        <v>0.11559999999999999</v>
      </c>
      <c r="R65" s="488">
        <f>+WPF_bazowy!R69</f>
        <v>0.10050000000000001</v>
      </c>
      <c r="S65" s="488">
        <f>+WPF_bazowy!S69</f>
        <v>8.8400000000000006E-2</v>
      </c>
      <c r="T65" s="488">
        <f>+WPF_bazowy!T69</f>
        <v>8.3299999999999999E-2</v>
      </c>
      <c r="U65" s="488">
        <f>+WPF_bazowy!U69</f>
        <v>8.9300000000000004E-2</v>
      </c>
      <c r="V65" s="488">
        <f>+WPF_bazowy!V69</f>
        <v>0.10050000000000001</v>
      </c>
      <c r="W65" s="488">
        <f>+WPF_bazowy!W69</f>
        <v>0.1086</v>
      </c>
      <c r="X65" s="488">
        <f>+WPF_bazowy!X69</f>
        <v>0.1174</v>
      </c>
      <c r="Y65" s="488">
        <f>+WPF_bazowy!Y69</f>
        <v>0.12470000000000001</v>
      </c>
      <c r="Z65" s="488">
        <f>+WPF_bazowy!Z69</f>
        <v>0</v>
      </c>
      <c r="AA65" s="488">
        <f>+WPF_bazowy!AA69</f>
        <v>0</v>
      </c>
      <c r="AB65" s="488">
        <f>+WPF_bazowy!AB69</f>
        <v>0</v>
      </c>
      <c r="AC65" s="488">
        <f>+WPF_bazowy!AC69</f>
        <v>0</v>
      </c>
      <c r="AD65" s="488">
        <f>+WPF_bazowy!AD69</f>
        <v>0</v>
      </c>
      <c r="AE65" s="488">
        <f>+WPF_bazowy!AE69</f>
        <v>0</v>
      </c>
      <c r="AF65" s="488">
        <f>+WPF_bazowy!AF69</f>
        <v>0</v>
      </c>
      <c r="AG65" s="488">
        <f>+WPF_bazowy!AG69</f>
        <v>0</v>
      </c>
      <c r="AH65" s="488">
        <f>+WPF_bazowy!AH69</f>
        <v>0</v>
      </c>
      <c r="AI65" s="488">
        <f>+WPF_bazowy!AI69</f>
        <v>0</v>
      </c>
      <c r="AJ65" s="488">
        <f>+WPF_bazowy!AJ69</f>
        <v>0</v>
      </c>
      <c r="AK65" s="488">
        <f>+WPF_bazowy!AK69</f>
        <v>0</v>
      </c>
      <c r="AL65" s="488">
        <f>+WPF_bazowy!AL69</f>
        <v>0</v>
      </c>
      <c r="AM65" s="488">
        <f>+WPF_bazowy!AM69</f>
        <v>0</v>
      </c>
      <c r="AN65" s="488">
        <f>+WPF_bazowy!AN69</f>
        <v>0</v>
      </c>
      <c r="AO65" s="488">
        <f>+WPF_bazowy!AO69</f>
        <v>0</v>
      </c>
      <c r="AP65" s="488">
        <f>+WPF_bazowy!AP69</f>
        <v>0</v>
      </c>
      <c r="AQ65" s="488">
        <f>+WPF_bazowy!BA69</f>
        <v>0</v>
      </c>
    </row>
    <row r="66" spans="3:43" outlineLevel="1">
      <c r="C66" s="270" t="s">
        <v>281</v>
      </c>
      <c r="D66" s="486" t="s">
        <v>547</v>
      </c>
      <c r="E66" s="486"/>
      <c r="F66" s="486" t="str">
        <f>+WPF_bazowy!F70</f>
        <v>x</v>
      </c>
      <c r="G66" s="486" t="str">
        <f>+WPF_bazowy!G70</f>
        <v>x</v>
      </c>
      <c r="H66" s="486" t="str">
        <f>+WPF_bazowy!H70</f>
        <v>x</v>
      </c>
      <c r="I66" s="486" t="str">
        <f>+WPF_bazowy!I70</f>
        <v>x</v>
      </c>
      <c r="J66" s="486" t="str">
        <f>+WPF_bazowy!J70</f>
        <v>x</v>
      </c>
      <c r="K66" s="486" t="str">
        <f>+WPF_bazowy!K70</f>
        <v>x</v>
      </c>
      <c r="L66" s="486" t="str">
        <f>+WPF_bazowy!L70</f>
        <v>x</v>
      </c>
      <c r="M66" s="486" t="str">
        <f>+WPF_bazowy!M70</f>
        <v>x</v>
      </c>
      <c r="N66" s="488">
        <f>+WPF_bazowy!N70</f>
        <v>0.1769</v>
      </c>
      <c r="O66" s="488">
        <f>+WPF_bazowy!O70</f>
        <v>0.16789999999999999</v>
      </c>
      <c r="P66" s="488">
        <f>+WPF_bazowy!P70</f>
        <v>0.15359999999999999</v>
      </c>
      <c r="Q66" s="488">
        <f>+WPF_bazowy!Q70</f>
        <v>0.1444</v>
      </c>
      <c r="R66" s="488">
        <f>+WPF_bazowy!R70</f>
        <v>0.11749999999999999</v>
      </c>
      <c r="S66" s="488">
        <f>+WPF_bazowy!S70</f>
        <v>0.10539999999999999</v>
      </c>
      <c r="T66" s="488">
        <f>+WPF_bazowy!T70</f>
        <v>0.1003</v>
      </c>
      <c r="U66" s="488">
        <f>+WPF_bazowy!U70</f>
        <v>8.9300000000000004E-2</v>
      </c>
      <c r="V66" s="488">
        <f>+WPF_bazowy!V70</f>
        <v>0.10050000000000001</v>
      </c>
      <c r="W66" s="488">
        <f>+WPF_bazowy!W70</f>
        <v>0.1086</v>
      </c>
      <c r="X66" s="488">
        <f>+WPF_bazowy!X70</f>
        <v>0.1174</v>
      </c>
      <c r="Y66" s="488">
        <f>+WPF_bazowy!Y70</f>
        <v>0.12470000000000001</v>
      </c>
      <c r="Z66" s="488">
        <f>+WPF_bazowy!Z70</f>
        <v>0</v>
      </c>
      <c r="AA66" s="488">
        <f>+WPF_bazowy!AA70</f>
        <v>0</v>
      </c>
      <c r="AB66" s="488">
        <f>+WPF_bazowy!AB70</f>
        <v>0</v>
      </c>
      <c r="AC66" s="488">
        <f>+WPF_bazowy!AC70</f>
        <v>0</v>
      </c>
      <c r="AD66" s="488">
        <f>+WPF_bazowy!AD70</f>
        <v>0</v>
      </c>
      <c r="AE66" s="488">
        <f>+WPF_bazowy!AE70</f>
        <v>0</v>
      </c>
      <c r="AF66" s="488">
        <f>+WPF_bazowy!AF70</f>
        <v>0</v>
      </c>
      <c r="AG66" s="488">
        <f>+WPF_bazowy!AG70</f>
        <v>0</v>
      </c>
      <c r="AH66" s="488">
        <f>+WPF_bazowy!AH70</f>
        <v>0</v>
      </c>
      <c r="AI66" s="488">
        <f>+WPF_bazowy!AI70</f>
        <v>0</v>
      </c>
      <c r="AJ66" s="488">
        <f>+WPF_bazowy!AJ70</f>
        <v>0</v>
      </c>
      <c r="AK66" s="488">
        <f>+WPF_bazowy!AK70</f>
        <v>0</v>
      </c>
      <c r="AL66" s="488">
        <f>+WPF_bazowy!AL70</f>
        <v>0</v>
      </c>
      <c r="AM66" s="488">
        <f>+WPF_bazowy!AM70</f>
        <v>0</v>
      </c>
      <c r="AN66" s="488">
        <f>+WPF_bazowy!AN70</f>
        <v>0</v>
      </c>
      <c r="AO66" s="488">
        <f>+WPF_bazowy!AO70</f>
        <v>0</v>
      </c>
      <c r="AP66" s="488">
        <f>+WPF_bazowy!AP70</f>
        <v>0</v>
      </c>
      <c r="AQ66" s="488">
        <f>+WPF_bazowy!BA70</f>
        <v>0</v>
      </c>
    </row>
    <row r="67" spans="3:43" outlineLevel="1">
      <c r="C67" s="270" t="s">
        <v>304</v>
      </c>
      <c r="D67" s="486" t="s">
        <v>548</v>
      </c>
      <c r="E67" s="486"/>
      <c r="F67" s="486" t="str">
        <f>+WPF_bazowy!F71</f>
        <v>x</v>
      </c>
      <c r="G67" s="486" t="str">
        <f>+WPF_bazowy!G71</f>
        <v>x</v>
      </c>
      <c r="H67" s="486" t="str">
        <f>+WPF_bazowy!H71</f>
        <v>x</v>
      </c>
      <c r="I67" s="486" t="str">
        <f>+WPF_bazowy!I71</f>
        <v>x</v>
      </c>
      <c r="J67" s="486" t="str">
        <f>+WPF_bazowy!J71</f>
        <v>x</v>
      </c>
      <c r="K67" s="486" t="str">
        <f>+WPF_bazowy!K71</f>
        <v>x</v>
      </c>
      <c r="L67" s="486" t="str">
        <f>+WPF_bazowy!L71</f>
        <v>x</v>
      </c>
      <c r="M67" s="486" t="str">
        <f>+WPF_bazowy!M71</f>
        <v>x</v>
      </c>
      <c r="N67" s="489" t="str">
        <f>+WPF_bazowy!N71</f>
        <v>Spełniona</v>
      </c>
      <c r="O67" s="489" t="str">
        <f>+WPF_bazowy!O71</f>
        <v>Spełniona</v>
      </c>
      <c r="P67" s="489" t="str">
        <f>+WPF_bazowy!P71</f>
        <v>Spełniona</v>
      </c>
      <c r="Q67" s="489" t="str">
        <f>+WPF_bazowy!Q71</f>
        <v>Spełniona</v>
      </c>
      <c r="R67" s="489" t="str">
        <f>+WPF_bazowy!R71</f>
        <v>Spełniona</v>
      </c>
      <c r="S67" s="489" t="str">
        <f>+WPF_bazowy!S71</f>
        <v>Spełniona</v>
      </c>
      <c r="T67" s="489" t="str">
        <f>+WPF_bazowy!T71</f>
        <v>Spełniona</v>
      </c>
      <c r="U67" s="489" t="str">
        <f>+WPF_bazowy!U71</f>
        <v>Spełniona</v>
      </c>
      <c r="V67" s="489" t="str">
        <f>+WPF_bazowy!V71</f>
        <v>Spełniona</v>
      </c>
      <c r="W67" s="489" t="str">
        <f>+WPF_bazowy!W71</f>
        <v>Spełniona</v>
      </c>
      <c r="X67" s="489" t="str">
        <f>+WPF_bazowy!X71</f>
        <v>Spełniona</v>
      </c>
      <c r="Y67" s="489" t="str">
        <f>+WPF_bazowy!Y71</f>
        <v>Spełniona</v>
      </c>
      <c r="Z67" s="489" t="str">
        <f>+WPF_bazowy!Z71</f>
        <v>Spełniona</v>
      </c>
      <c r="AA67" s="489" t="str">
        <f>+WPF_bazowy!AA71</f>
        <v>Spełniona</v>
      </c>
      <c r="AB67" s="489" t="str">
        <f>+WPF_bazowy!AB71</f>
        <v>Spełniona</v>
      </c>
      <c r="AC67" s="489" t="str">
        <f>+WPF_bazowy!AC71</f>
        <v>Spełniona</v>
      </c>
      <c r="AD67" s="489" t="str">
        <f>+WPF_bazowy!AD71</f>
        <v>Spełniona</v>
      </c>
      <c r="AE67" s="489" t="str">
        <f>+WPF_bazowy!AE71</f>
        <v>Spełniona</v>
      </c>
      <c r="AF67" s="489" t="str">
        <f>+WPF_bazowy!AF71</f>
        <v>Spełniona</v>
      </c>
      <c r="AG67" s="489" t="str">
        <f>+WPF_bazowy!AG71</f>
        <v>Spełniona</v>
      </c>
      <c r="AH67" s="489" t="str">
        <f>+WPF_bazowy!AH71</f>
        <v>Spełniona</v>
      </c>
      <c r="AI67" s="489" t="str">
        <f>+WPF_bazowy!AI71</f>
        <v>Spełniona</v>
      </c>
      <c r="AJ67" s="489" t="str">
        <f>+WPF_bazowy!AJ71</f>
        <v>Spełniona</v>
      </c>
      <c r="AK67" s="489" t="str">
        <f>+WPF_bazowy!AK71</f>
        <v>Spełniona</v>
      </c>
      <c r="AL67" s="489" t="str">
        <f>+WPF_bazowy!AL71</f>
        <v>Spełniona</v>
      </c>
      <c r="AM67" s="489" t="str">
        <f>+WPF_bazowy!AM71</f>
        <v>Spełniona</v>
      </c>
      <c r="AN67" s="489" t="str">
        <f>+WPF_bazowy!AN71</f>
        <v>Spełniona</v>
      </c>
      <c r="AO67" s="489" t="str">
        <f>+WPF_bazowy!AO71</f>
        <v>Spełniona</v>
      </c>
      <c r="AP67" s="489" t="str">
        <f>+WPF_bazowy!AP71</f>
        <v>Spełniona</v>
      </c>
      <c r="AQ67" s="489" t="str">
        <f>+WPF_bazowy!BA71</f>
        <v>Spełniona</v>
      </c>
    </row>
    <row r="68" spans="3:43" ht="27" outlineLevel="1">
      <c r="C68" s="270" t="s">
        <v>282</v>
      </c>
      <c r="D68" s="486" t="s">
        <v>549</v>
      </c>
      <c r="E68" s="486"/>
      <c r="F68" s="486" t="str">
        <f>+WPF_bazowy!F72</f>
        <v>x</v>
      </c>
      <c r="G68" s="486" t="str">
        <f>+WPF_bazowy!G72</f>
        <v>x</v>
      </c>
      <c r="H68" s="486" t="str">
        <f>+WPF_bazowy!H72</f>
        <v>x</v>
      </c>
      <c r="I68" s="486" t="str">
        <f>+WPF_bazowy!I72</f>
        <v>x</v>
      </c>
      <c r="J68" s="486" t="str">
        <f>+WPF_bazowy!J72</f>
        <v>x</v>
      </c>
      <c r="K68" s="486" t="str">
        <f>+WPF_bazowy!K72</f>
        <v>x</v>
      </c>
      <c r="L68" s="486" t="str">
        <f>+WPF_bazowy!L72</f>
        <v>x</v>
      </c>
      <c r="M68" s="486" t="str">
        <f>+WPF_bazowy!M72</f>
        <v>x</v>
      </c>
      <c r="N68" s="489" t="str">
        <f>+WPF_bazowy!N72</f>
        <v>Spełniona</v>
      </c>
      <c r="O68" s="489" t="str">
        <f>+WPF_bazowy!O72</f>
        <v>Spełniona</v>
      </c>
      <c r="P68" s="489" t="str">
        <f>+WPF_bazowy!P72</f>
        <v>Spełniona</v>
      </c>
      <c r="Q68" s="489" t="str">
        <f>+WPF_bazowy!Q72</f>
        <v>Spełniona</v>
      </c>
      <c r="R68" s="489" t="str">
        <f>+WPF_bazowy!R72</f>
        <v>Spełniona</v>
      </c>
      <c r="S68" s="489" t="str">
        <f>+WPF_bazowy!S72</f>
        <v>Spełniona</v>
      </c>
      <c r="T68" s="489" t="str">
        <f>+WPF_bazowy!T72</f>
        <v>Spełniona</v>
      </c>
      <c r="U68" s="489" t="str">
        <f>+WPF_bazowy!U72</f>
        <v>Spełniona</v>
      </c>
      <c r="V68" s="489" t="str">
        <f>+WPF_bazowy!V72</f>
        <v>Spełniona</v>
      </c>
      <c r="W68" s="489" t="str">
        <f>+WPF_bazowy!W72</f>
        <v>Spełniona</v>
      </c>
      <c r="X68" s="489" t="str">
        <f>+WPF_bazowy!X72</f>
        <v>Spełniona</v>
      </c>
      <c r="Y68" s="489" t="str">
        <f>+WPF_bazowy!Y72</f>
        <v>Spełniona</v>
      </c>
      <c r="Z68" s="489" t="str">
        <f>+WPF_bazowy!Z72</f>
        <v>Spełniona</v>
      </c>
      <c r="AA68" s="489" t="str">
        <f>+WPF_bazowy!AA72</f>
        <v>Spełniona</v>
      </c>
      <c r="AB68" s="489" t="str">
        <f>+WPF_bazowy!AB72</f>
        <v>Spełniona</v>
      </c>
      <c r="AC68" s="489" t="str">
        <f>+WPF_bazowy!AC72</f>
        <v>Spełniona</v>
      </c>
      <c r="AD68" s="489" t="str">
        <f>+WPF_bazowy!AD72</f>
        <v>Spełniona</v>
      </c>
      <c r="AE68" s="489" t="str">
        <f>+WPF_bazowy!AE72</f>
        <v>Spełniona</v>
      </c>
      <c r="AF68" s="489" t="str">
        <f>+WPF_bazowy!AF72</f>
        <v>Spełniona</v>
      </c>
      <c r="AG68" s="489" t="str">
        <f>+WPF_bazowy!AG72</f>
        <v>Spełniona</v>
      </c>
      <c r="AH68" s="489" t="str">
        <f>+WPF_bazowy!AH72</f>
        <v>Spełniona</v>
      </c>
      <c r="AI68" s="489" t="str">
        <f>+WPF_bazowy!AI72</f>
        <v>Spełniona</v>
      </c>
      <c r="AJ68" s="489" t="str">
        <f>+WPF_bazowy!AJ72</f>
        <v>Spełniona</v>
      </c>
      <c r="AK68" s="489" t="str">
        <f>+WPF_bazowy!AK72</f>
        <v>Spełniona</v>
      </c>
      <c r="AL68" s="489" t="str">
        <f>+WPF_bazowy!AL72</f>
        <v>Spełniona</v>
      </c>
      <c r="AM68" s="489" t="str">
        <f>+WPF_bazowy!AM72</f>
        <v>Spełniona</v>
      </c>
      <c r="AN68" s="489" t="str">
        <f>+WPF_bazowy!AN72</f>
        <v>Spełniona</v>
      </c>
      <c r="AO68" s="489" t="str">
        <f>+WPF_bazowy!AO72</f>
        <v>Spełniona</v>
      </c>
      <c r="AP68" s="489" t="str">
        <f>+WPF_bazowy!AP72</f>
        <v>Spełniona</v>
      </c>
      <c r="AQ68" s="489" t="str">
        <f>+WPF_bazowy!BA72</f>
        <v>Spełniona</v>
      </c>
    </row>
    <row r="69" spans="3:43">
      <c r="C69" s="258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</row>
    <row r="70" spans="3:43">
      <c r="C70" s="258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</row>
    <row r="71" spans="3:43">
      <c r="C71" s="258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</row>
    <row r="72" spans="3:43" ht="14.25" thickBot="1">
      <c r="C72" s="271"/>
      <c r="D72" s="272" t="s">
        <v>550</v>
      </c>
      <c r="E72" s="273"/>
      <c r="F72" s="273"/>
      <c r="G72" s="273"/>
      <c r="H72" s="273"/>
      <c r="I72" s="273"/>
      <c r="J72" s="273"/>
      <c r="K72" s="273"/>
      <c r="L72" s="273"/>
      <c r="M72" s="273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</row>
  </sheetData>
  <sheetProtection formatCells="0" formatColumns="0" formatRows="0" autoFilter="0"/>
  <conditionalFormatting sqref="N55:AQ56">
    <cfRule type="cellIs" dxfId="1" priority="3" stopIfTrue="1" operator="equal">
      <formula>"Nie spełniona"</formula>
    </cfRule>
  </conditionalFormatting>
  <conditionalFormatting sqref="N67:AQ68">
    <cfRule type="cellIs" dxfId="0" priority="2" stopIfTrue="1" operator="equal">
      <formula>"Nie spełniona"</formula>
    </cfRule>
  </conditionalFormatting>
  <pageMargins left="0.39370078740157483" right="0.39370078740157483" top="0.39370078740157483" bottom="0.39370078740157483" header="0.11811023622047245" footer="0.11811023622047245"/>
  <pageSetup paperSize="9" scale="80" orientation="landscape" r:id="rId1"/>
  <headerFooter>
    <oddFooter>&amp;L&amp;"Arial Narrow,Pogrubiona kursywa"&amp;8Model "Symulacje WPF"(BeSTi@)&amp;C&amp;"Arial Narrow,Normalny"&amp;8&amp;A&amp;R&amp;"Arial Narrow,Normalny"&amp;8&amp;P z &amp;N</oddFooter>
  </headerFooter>
  <rowBreaks count="1" manualBreakCount="1">
    <brk id="41" min="9" max="4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2:BA8"/>
  <sheetViews>
    <sheetView topLeftCell="C1" workbookViewId="0">
      <selection activeCell="Q4" sqref="Q4"/>
    </sheetView>
  </sheetViews>
  <sheetFormatPr defaultRowHeight="14.25" outlineLevelRow="2" outlineLevelCol="1"/>
  <cols>
    <col min="1" max="2" width="4.25" hidden="1" customWidth="1" outlineLevel="1"/>
    <col min="3" max="3" width="5.5" customWidth="1" collapsed="1"/>
    <col min="4" max="4" width="13.25" customWidth="1"/>
    <col min="5" max="5" width="78.5" customWidth="1"/>
    <col min="6" max="13" width="8.75" hidden="1" customWidth="1" outlineLevel="1"/>
    <col min="14" max="14" width="8.75" customWidth="1" collapsed="1"/>
  </cols>
  <sheetData>
    <row r="2" spans="1:53" s="128" customFormat="1">
      <c r="A2" s="127"/>
      <c r="B2" s="238"/>
      <c r="C2" s="129"/>
      <c r="D2" s="132"/>
      <c r="E2" s="520" t="s">
        <v>725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3" s="128" customFormat="1">
      <c r="A3" s="127"/>
      <c r="B3" s="238"/>
      <c r="C3" s="129"/>
      <c r="D3" s="132"/>
      <c r="E3" s="523" t="s">
        <v>723</v>
      </c>
      <c r="F3" s="129"/>
      <c r="G3" s="129"/>
      <c r="H3" s="129"/>
      <c r="I3" s="129"/>
      <c r="J3" s="129"/>
      <c r="K3" s="129"/>
      <c r="L3" s="129"/>
      <c r="M3" s="129"/>
      <c r="N3" s="522">
        <f>+WPF_Analiza!N9</f>
        <v>2022</v>
      </c>
      <c r="O3" s="522">
        <f>+WPF_Analiza!O9</f>
        <v>2023</v>
      </c>
      <c r="P3" s="522">
        <f>+WPF_Analiza!P9</f>
        <v>2024</v>
      </c>
      <c r="Q3" s="522">
        <f>+WPF_Analiza!Q9</f>
        <v>2025</v>
      </c>
      <c r="R3" s="522">
        <f>+WPF_Analiza!R9</f>
        <v>2026</v>
      </c>
      <c r="S3" s="522">
        <f>+WPF_Analiza!S9</f>
        <v>2027</v>
      </c>
      <c r="T3" s="522">
        <f>+WPF_Analiza!T9</f>
        <v>2028</v>
      </c>
      <c r="U3" s="522">
        <f>+WPF_Analiza!U9</f>
        <v>2029</v>
      </c>
      <c r="V3" s="522">
        <f>+WPF_Analiza!V9</f>
        <v>2030</v>
      </c>
      <c r="W3" s="522">
        <f>+WPF_Analiza!W9</f>
        <v>2031</v>
      </c>
      <c r="X3" s="522">
        <f>+WPF_Analiza!X9</f>
        <v>2032</v>
      </c>
      <c r="Y3" s="522">
        <f>+WPF_Analiza!Y9</f>
        <v>2033</v>
      </c>
      <c r="Z3" s="522">
        <f>+WPF_Analiza!Z9</f>
        <v>2034</v>
      </c>
      <c r="AA3" s="522">
        <f>+WPF_Analiza!AA9</f>
        <v>2035</v>
      </c>
      <c r="AB3" s="522">
        <f>+WPF_Analiza!AB9</f>
        <v>2036</v>
      </c>
      <c r="AC3" s="522">
        <f>+WPF_Analiza!AC9</f>
        <v>2037</v>
      </c>
      <c r="AD3" s="522">
        <f>+WPF_Analiza!AD9</f>
        <v>2038</v>
      </c>
      <c r="AE3" s="522">
        <f>+WPF_Analiza!AE9</f>
        <v>2039</v>
      </c>
      <c r="AF3" s="522">
        <f>+WPF_Analiza!AF9</f>
        <v>2040</v>
      </c>
      <c r="AG3" s="522">
        <f>+WPF_Analiza!AG9</f>
        <v>2041</v>
      </c>
      <c r="AH3" s="522">
        <f>+WPF_Analiza!AH9</f>
        <v>2042</v>
      </c>
      <c r="AI3" s="522">
        <f>+WPF_Analiza!AI9</f>
        <v>2043</v>
      </c>
      <c r="AJ3" s="522">
        <f>+WPF_Analiza!AJ9</f>
        <v>2044</v>
      </c>
      <c r="AK3" s="522">
        <f>+WPF_Analiza!AK9</f>
        <v>2045</v>
      </c>
      <c r="AL3" s="522">
        <f>+WPF_Analiza!AL9</f>
        <v>2046</v>
      </c>
      <c r="AM3" s="522">
        <f>+WPF_Analiza!AM9</f>
        <v>2047</v>
      </c>
      <c r="AN3" s="522">
        <f>+WPF_Analiza!AN9</f>
        <v>2048</v>
      </c>
      <c r="AO3" s="522">
        <f>+WPF_Analiza!AO9</f>
        <v>2049</v>
      </c>
      <c r="AP3" s="522">
        <f>+WPF_Analiza!AP9</f>
        <v>2050</v>
      </c>
      <c r="AQ3" s="522">
        <f>+WPF_Analiza!AQ9</f>
        <v>2051</v>
      </c>
      <c r="AR3" s="522">
        <f>+WPF_Analiza!AR9</f>
        <v>2052</v>
      </c>
      <c r="AS3" s="522">
        <f>+WPF_Analiza!AS9</f>
        <v>2053</v>
      </c>
      <c r="AT3" s="522">
        <f>+WPF_Analiza!AT9</f>
        <v>2054</v>
      </c>
      <c r="AU3" s="522">
        <f>+WPF_Analiza!AU9</f>
        <v>2055</v>
      </c>
      <c r="AV3" s="522">
        <f>+WPF_Analiza!AV9</f>
        <v>2056</v>
      </c>
      <c r="AW3" s="522">
        <f>+WPF_Analiza!AW9</f>
        <v>2057</v>
      </c>
      <c r="AX3" s="522">
        <f>+WPF_Analiza!AX9</f>
        <v>2058</v>
      </c>
      <c r="AY3" s="522">
        <f>+WPF_Analiza!AY9</f>
        <v>2059</v>
      </c>
      <c r="AZ3" s="522">
        <f>+WPF_Analiza!AZ9</f>
        <v>2060</v>
      </c>
      <c r="BA3" s="522">
        <f>+WPF_Analiza!BA9</f>
        <v>2061</v>
      </c>
    </row>
    <row r="4" spans="1:53" s="246" customFormat="1" ht="40.5" outlineLevel="1">
      <c r="A4" s="244" t="s">
        <v>27</v>
      </c>
      <c r="B4" s="244" t="s">
        <v>27</v>
      </c>
      <c r="C4" s="517" t="s">
        <v>303</v>
      </c>
      <c r="D4" s="528" t="s">
        <v>369</v>
      </c>
      <c r="E4" s="524" t="s">
        <v>333</v>
      </c>
      <c r="F4" s="518" t="s">
        <v>27</v>
      </c>
      <c r="G4" s="518" t="s">
        <v>27</v>
      </c>
      <c r="H4" s="518" t="s">
        <v>27</v>
      </c>
      <c r="I4" s="518" t="s">
        <v>27</v>
      </c>
      <c r="J4" s="518" t="s">
        <v>27</v>
      </c>
      <c r="K4" s="518" t="s">
        <v>27</v>
      </c>
      <c r="L4" s="518" t="s">
        <v>27</v>
      </c>
      <c r="M4" s="521" t="s">
        <v>27</v>
      </c>
      <c r="N4" s="519">
        <f>+IF(WPF_Analiza!N9&lt;=2025,ROUND(SUM(WPF_Analiza!J67,WPF_Analiza!K67,WPF_Analiza!L67,WPF_Analiza!F67:I67)/7,4),7)</f>
        <v>0.14810000000000001</v>
      </c>
      <c r="O4" s="519">
        <f>+IF(WPF_Analiza!O9&lt;=2025,ROUND(SUM(WPF_Analiza!K67,WPF_Analiza!L67,WPF_Analiza!N67,WPF_Analiza!G67:J67)/7,4),7)</f>
        <v>0.13919999999999999</v>
      </c>
      <c r="P4" s="519">
        <f>+IF(WPF_Analiza!P9&lt;=2025,ROUND(SUM(WPF_Analiza!L67,WPF_Analiza!N67,WPF_Analiza!O67,WPF_Analiza!H67:K67)/7,4),7)</f>
        <v>0.1249</v>
      </c>
      <c r="Q4" s="519">
        <f>+IF(WPF_Analiza!Q9&lt;=2025,ROUND(SUM(WPF_Analiza!N67,WPF_Analiza!O67,WPF_Analiza!P67,WPF_Analiza!L67,WPF_Analiza!I67:K67)/7,4),7)</f>
        <v>0.11559999999999999</v>
      </c>
      <c r="R4" s="519">
        <f>+IF(WPF_Analiza!R9&lt;=Ostatni_rok_analizy,IF(WPF_Analiza!R9&lt;=2025,ROUND(SUM(WPF_Analiza!O67,WPF_Analiza!P67,WPF_Analiza!Q67,WPF_Analiza!N67,WPF_Analiza!L67,WPF_Analiza!K67,WPF_Analiza!J67)/7,4),+ROUND(SUM(WPF_Analiza!J68,WPF_Analiza!K68,WPF_Analiza!L68,WPF_Analiza!N68,WPF_Analiza!O68,WPF_Analiza!P68,WPF_Analiza!Q68)/7,4)),0)</f>
        <v>0.10050000000000001</v>
      </c>
      <c r="S4" s="519">
        <f>+IF(WPF_Analiza!S9&lt;=Ostatni_rok_analizy,IF(WPF_Analiza!S9&lt;=2025,ROUND(SUM(WPF_Analiza!P67,WPF_Analiza!Q67,WPF_Analiza!R67,WPF_Analiza!O67,WPF_Analiza!N67,WPF_Analiza!L67,WPF_Analiza!K67)/7,4),+ROUND(SUM(WPF_Analiza!K68,WPF_Analiza!L68,WPF_Analiza!N68,WPF_Analiza!O68,WPF_Analiza!P68,WPF_Analiza!Q68,WPF_Analiza!R68)/7,4)),0)</f>
        <v>8.8400000000000006E-2</v>
      </c>
      <c r="T4" s="519">
        <f>+IF(WPF_Analiza!T9&lt;=Ostatni_rok_analizy,IF(WPF_Analiza!T9&lt;=2025,ROUND(SUM(WPF_Analiza!Q67,WPF_Analiza!R67,WPF_Analiza!S67,WPF_Analiza!P67,WPF_Analiza!O67,WPF_Analiza!N67,WPF_Analiza!L67)/7,4),+ROUND(SUM(WPF_Analiza!L68,WPF_Analiza!N68,WPF_Analiza!O68,WPF_Analiza!P68,WPF_Analiza!Q68,WPF_Analiza!R68,WPF_Analiza!S68)/7,4)),0)</f>
        <v>8.3299999999999999E-2</v>
      </c>
      <c r="U4" s="519">
        <f>+IF(WPF_Analiza!U9&lt;=Ostatni_rok_analizy,IF(WPF_Analiza!U9&lt;=2025,ROUND(SUM(WPF_Analiza!R67,WPF_Analiza!S67,WPF_Analiza!T67,WPF_Analiza!Q67,WPF_Analiza!P67,WPF_Analiza!O67,WPF_Analiza!N67)/7,4),+ROUND(SUM(WPF_Analiza!N68,WPF_Analiza!O68,WPF_Analiza!P68,WPF_Analiza!Q68,WPF_Analiza!R68,WPF_Analiza!S68,WPF_Analiza!T68)/7,4)),0)</f>
        <v>8.9300000000000004E-2</v>
      </c>
      <c r="V4" s="519">
        <f>+IF(WPF_Analiza!V9&lt;=Ostatni_rok_analizy,IF(WPF_Analiza!V9&lt;=2025,ROUND(SUM(WPF_Analiza!S67,WPF_Analiza!T67,WPF_Analiza!U67,WPF_Analiza!R67,WPF_Analiza!Q67,WPF_Analiza!P67,WPF_Analiza!O67)/7,4),+ROUND(SUM(WPF_Analiza!O68,WPF_Analiza!P68,WPF_Analiza!Q68,WPF_Analiza!R68,WPF_Analiza!S68,WPF_Analiza!T68,WPF_Analiza!U68)/7,4)),0)</f>
        <v>0.10050000000000001</v>
      </c>
      <c r="W4" s="519">
        <f>+IF(WPF_Analiza!W9&lt;=Ostatni_rok_analizy,IF(WPF_Analiza!W9&lt;=2025,ROUND(SUM(WPF_Analiza!T67,WPF_Analiza!U67,WPF_Analiza!V67,WPF_Analiza!S67,WPF_Analiza!R67,WPF_Analiza!Q67,WPF_Analiza!P67)/7,4),+ROUND(SUM(WPF_Analiza!P68,WPF_Analiza!Q68,WPF_Analiza!R68,WPF_Analiza!S68,WPF_Analiza!T68,WPF_Analiza!U68,WPF_Analiza!V68)/7,4)),0)</f>
        <v>0.1086</v>
      </c>
      <c r="X4" s="519">
        <f>+IF(WPF_Analiza!X9&lt;=Ostatni_rok_analizy,IF(WPF_Analiza!X9&lt;=2025,ROUND(SUM(WPF_Analiza!U67,WPF_Analiza!V67,WPF_Analiza!W67,WPF_Analiza!T67,WPF_Analiza!S67,WPF_Analiza!R67,WPF_Analiza!Q67)/7,4),+ROUND(SUM(WPF_Analiza!Q68,WPF_Analiza!R68,WPF_Analiza!S68,WPF_Analiza!T68,WPF_Analiza!U68,WPF_Analiza!V68,WPF_Analiza!W68)/7,4)),0)</f>
        <v>0.1174</v>
      </c>
      <c r="Y4" s="519">
        <f>+IF(WPF_Analiza!Y9&lt;=Ostatni_rok_analizy,IF(WPF_Analiza!Y9&lt;=2025,ROUND(SUM(WPF_Analiza!V67,WPF_Analiza!W67,WPF_Analiza!X67,WPF_Analiza!U67,WPF_Analiza!T67,WPF_Analiza!S67,WPF_Analiza!R67)/7,4),+ROUND(SUM(WPF_Analiza!R68,WPF_Analiza!S68,WPF_Analiza!T68,WPF_Analiza!U68,WPF_Analiza!V68,WPF_Analiza!W68,WPF_Analiza!X68)/7,4)),0)</f>
        <v>0.12470000000000001</v>
      </c>
      <c r="Z4" s="519">
        <f>+IF(WPF_Analiza!Z9&lt;=Ostatni_rok_analizy,IF(WPF_Analiza!Z9&lt;=2025,ROUND(SUM(WPF_Analiza!W67,WPF_Analiza!X67,WPF_Analiza!Y67,WPF_Analiza!V67,WPF_Analiza!U67,WPF_Analiza!T67,WPF_Analiza!S67)/7,4),+ROUND(SUM(WPF_Analiza!S68,WPF_Analiza!T68,WPF_Analiza!U68,WPF_Analiza!V68,WPF_Analiza!W68,WPF_Analiza!X68,WPF_Analiza!Y68)/7,4)),0)</f>
        <v>0</v>
      </c>
      <c r="AA4" s="519">
        <f>+IF(WPF_Analiza!AA9&lt;=Ostatni_rok_analizy,IF(WPF_Analiza!AA9&lt;=2025,ROUND(SUM(WPF_Analiza!X67,WPF_Analiza!Y67,WPF_Analiza!Z67,WPF_Analiza!W67,WPF_Analiza!V67,WPF_Analiza!U67,WPF_Analiza!T67)/7,4),+ROUND(SUM(WPF_Analiza!T68,WPF_Analiza!U68,WPF_Analiza!V68,WPF_Analiza!W68,WPF_Analiza!X68,WPF_Analiza!Y68,WPF_Analiza!Z68)/7,4)),0)</f>
        <v>0</v>
      </c>
      <c r="AB4" s="519">
        <f>+IF(WPF_Analiza!AB9&lt;=Ostatni_rok_analizy,IF(WPF_Analiza!AB9&lt;=2025,ROUND(SUM(WPF_Analiza!Y67,WPF_Analiza!Z67,WPF_Analiza!AA67,WPF_Analiza!X67,WPF_Analiza!W67,WPF_Analiza!V67,WPF_Analiza!U67)/7,4),+ROUND(SUM(WPF_Analiza!U68,WPF_Analiza!V68,WPF_Analiza!W68,WPF_Analiza!X68,WPF_Analiza!Y68,WPF_Analiza!Z68,WPF_Analiza!AA68)/7,4)),0)</f>
        <v>0</v>
      </c>
      <c r="AC4" s="519">
        <f>+IF(WPF_Analiza!AC9&lt;=Ostatni_rok_analizy,IF(WPF_Analiza!AC9&lt;=2025,ROUND(SUM(WPF_Analiza!Z67,WPF_Analiza!AA67,WPF_Analiza!AB67,WPF_Analiza!Y67,WPF_Analiza!X67,WPF_Analiza!W67,WPF_Analiza!V67)/7,4),+ROUND(SUM(WPF_Analiza!V68,WPF_Analiza!W68,WPF_Analiza!X68,WPF_Analiza!Y68,WPF_Analiza!Z68,WPF_Analiza!AA68,WPF_Analiza!AB68)/7,4)),0)</f>
        <v>0</v>
      </c>
      <c r="AD4" s="519">
        <f>+IF(WPF_Analiza!AD9&lt;=Ostatni_rok_analizy,IF(WPF_Analiza!AD9&lt;=2025,ROUND(SUM(WPF_Analiza!AA67,WPF_Analiza!AB67,WPF_Analiza!AC67,WPF_Analiza!Z67,WPF_Analiza!Y67,WPF_Analiza!X67,WPF_Analiza!W67)/7,4),+ROUND(SUM(WPF_Analiza!W68,WPF_Analiza!X68,WPF_Analiza!Y68,WPF_Analiza!Z68,WPF_Analiza!AA68,WPF_Analiza!AB68,WPF_Analiza!AC68)/7,4)),0)</f>
        <v>0</v>
      </c>
      <c r="AE4" s="519">
        <f>+IF(WPF_Analiza!AE9&lt;=Ostatni_rok_analizy,IF(WPF_Analiza!AE9&lt;=2025,ROUND(SUM(WPF_Analiza!AB67,WPF_Analiza!AC67,WPF_Analiza!AD67,WPF_Analiza!AA67,WPF_Analiza!Z67,WPF_Analiza!Y67,WPF_Analiza!X67)/7,4),+ROUND(SUM(WPF_Analiza!X68,WPF_Analiza!Y68,WPF_Analiza!Z68,WPF_Analiza!AA68,WPF_Analiza!AB68,WPF_Analiza!AC68,WPF_Analiza!AD68)/7,4)),0)</f>
        <v>0</v>
      </c>
      <c r="AF4" s="519">
        <f>+IF(WPF_Analiza!AF9&lt;=Ostatni_rok_analizy,IF(WPF_Analiza!AF9&lt;=2025,ROUND(SUM(WPF_Analiza!AC67,WPF_Analiza!AD67,WPF_Analiza!AE67,WPF_Analiza!AB67,WPF_Analiza!AA67,WPF_Analiza!Z67,WPF_Analiza!Y67)/7,4),+ROUND(SUM(WPF_Analiza!Y68,WPF_Analiza!Z68,WPF_Analiza!AA68,WPF_Analiza!AB68,WPF_Analiza!AC68,WPF_Analiza!AD68,WPF_Analiza!AE68)/7,4)),0)</f>
        <v>0</v>
      </c>
      <c r="AG4" s="519">
        <f>+IF(WPF_Analiza!AG9&lt;=Ostatni_rok_analizy,IF(WPF_Analiza!AG9&lt;=2025,ROUND(SUM(WPF_Analiza!AD67,WPF_Analiza!AE67,WPF_Analiza!AF67,WPF_Analiza!AC67,WPF_Analiza!AB67,WPF_Analiza!AA67,WPF_Analiza!Z67)/7,4),+ROUND(SUM(WPF_Analiza!Z68,WPF_Analiza!AA68,WPF_Analiza!AB68,WPF_Analiza!AC68,WPF_Analiza!AD68,WPF_Analiza!AE68,WPF_Analiza!AF68)/7,4)),0)</f>
        <v>0</v>
      </c>
      <c r="AH4" s="519">
        <f>+IF(WPF_Analiza!AH9&lt;=Ostatni_rok_analizy,IF(WPF_Analiza!AH9&lt;=2025,ROUND(SUM(WPF_Analiza!AE67,WPF_Analiza!AF67,WPF_Analiza!AG67,WPF_Analiza!AD67,WPF_Analiza!AC67,WPF_Analiza!AB67,WPF_Analiza!AA67)/7,4),+ROUND(SUM(WPF_Analiza!AA68,WPF_Analiza!AB68,WPF_Analiza!AC68,WPF_Analiza!AD68,WPF_Analiza!AE68,WPF_Analiza!AF68,WPF_Analiza!AG68)/7,4)),0)</f>
        <v>0</v>
      </c>
      <c r="AI4" s="519">
        <f>+IF(WPF_Analiza!AI9&lt;=Ostatni_rok_analizy,IF(WPF_Analiza!AI9&lt;=2025,ROUND(SUM(WPF_Analiza!AF67,WPF_Analiza!AG67,WPF_Analiza!AH67,WPF_Analiza!AE67,WPF_Analiza!AD67,WPF_Analiza!AC67,WPF_Analiza!AB67)/7,4),+ROUND(SUM(WPF_Analiza!AB68,WPF_Analiza!AC68,WPF_Analiza!AD68,WPF_Analiza!AE68,WPF_Analiza!AF68,WPF_Analiza!AG68,WPF_Analiza!AH68)/7,4)),0)</f>
        <v>0</v>
      </c>
      <c r="AJ4" s="519">
        <f>+IF(WPF_Analiza!AJ9&lt;=Ostatni_rok_analizy,IF(WPF_Analiza!AJ9&lt;=2025,ROUND(SUM(WPF_Analiza!AG67,WPF_Analiza!AH67,WPF_Analiza!AI67,WPF_Analiza!AF67,WPF_Analiza!AE67,WPF_Analiza!AD67,WPF_Analiza!AC67)/7,4),+ROUND(SUM(WPF_Analiza!AC68,WPF_Analiza!AD68,WPF_Analiza!AE68,WPF_Analiza!AF68,WPF_Analiza!AG68,WPF_Analiza!AH68,WPF_Analiza!AI68)/7,4)),0)</f>
        <v>0</v>
      </c>
      <c r="AK4" s="519">
        <f>+IF(WPF_Analiza!AK9&lt;=Ostatni_rok_analizy,IF(WPF_Analiza!AK9&lt;=2025,ROUND(SUM(WPF_Analiza!AH67,WPF_Analiza!AI67,WPF_Analiza!AJ67,WPF_Analiza!AG67,WPF_Analiza!AF67,WPF_Analiza!AE67,WPF_Analiza!AD67)/7,4),+ROUND(SUM(WPF_Analiza!AD68,WPF_Analiza!AE68,WPF_Analiza!AF68,WPF_Analiza!AG68,WPF_Analiza!AH68,WPF_Analiza!AI68,WPF_Analiza!AJ68)/7,4)),0)</f>
        <v>0</v>
      </c>
      <c r="AL4" s="519">
        <f>+IF(WPF_Analiza!AL9&lt;=Ostatni_rok_analizy,IF(WPF_Analiza!AL9&lt;=2025,ROUND(SUM(WPF_Analiza!AI67,WPF_Analiza!AJ67,WPF_Analiza!AK67,WPF_Analiza!AH67,WPF_Analiza!AG67,WPF_Analiza!AF67,WPF_Analiza!AE67)/7,4),+ROUND(SUM(WPF_Analiza!AE68,WPF_Analiza!AF68,WPF_Analiza!AG68,WPF_Analiza!AH68,WPF_Analiza!AI68,WPF_Analiza!AJ68,WPF_Analiza!AK68)/7,4)),0)</f>
        <v>0</v>
      </c>
      <c r="AM4" s="519">
        <f>+IF(WPF_Analiza!AM9&lt;=Ostatni_rok_analizy,IF(WPF_Analiza!AM9&lt;=2025,ROUND(SUM(WPF_Analiza!AJ67,WPF_Analiza!AK67,WPF_Analiza!AL67,WPF_Analiza!AI67,WPF_Analiza!AH67,WPF_Analiza!AG67,WPF_Analiza!AF67)/7,4),+ROUND(SUM(WPF_Analiza!AF68,WPF_Analiza!AG68,WPF_Analiza!AH68,WPF_Analiza!AI68,WPF_Analiza!AJ68,WPF_Analiza!AK68,WPF_Analiza!AL68)/7,4)),0)</f>
        <v>0</v>
      </c>
      <c r="AN4" s="519">
        <f>+IF(WPF_Analiza!AN9&lt;=Ostatni_rok_analizy,IF(WPF_Analiza!AN9&lt;=2025,ROUND(SUM(WPF_Analiza!AK67,WPF_Analiza!AL67,WPF_Analiza!AM67,WPF_Analiza!AJ67,WPF_Analiza!AI67,WPF_Analiza!AH67,WPF_Analiza!AG67)/7,4),+ROUND(SUM(WPF_Analiza!AG68,WPF_Analiza!AH68,WPF_Analiza!AI68,WPF_Analiza!AJ68,WPF_Analiza!AK68,WPF_Analiza!AL68,WPF_Analiza!AM68)/7,4)),0)</f>
        <v>0</v>
      </c>
      <c r="AO4" s="519">
        <f>+IF(WPF_Analiza!AO9&lt;=Ostatni_rok_analizy,IF(WPF_Analiza!AO9&lt;=2025,ROUND(SUM(WPF_Analiza!AL67,WPF_Analiza!AM67,WPF_Analiza!AN67,WPF_Analiza!AK67,WPF_Analiza!AJ67,WPF_Analiza!AI67,WPF_Analiza!AH67)/7,4),+ROUND(SUM(WPF_Analiza!AH68,WPF_Analiza!AI68,WPF_Analiza!AJ68,WPF_Analiza!AK68,WPF_Analiza!AL68,WPF_Analiza!AM68,WPF_Analiza!AN68)/7,4)),0)</f>
        <v>0</v>
      </c>
      <c r="AP4" s="519">
        <f>+IF(WPF_Analiza!AP9&lt;=Ostatni_rok_analizy,IF(WPF_Analiza!AP9&lt;=2025,ROUND(SUM(WPF_Analiza!AM67,WPF_Analiza!AN67,WPF_Analiza!AO67,WPF_Analiza!AL67,WPF_Analiza!AK67,WPF_Analiza!AJ67,WPF_Analiza!AI67)/7,4),+ROUND(SUM(WPF_Analiza!AI68,WPF_Analiza!AJ68,WPF_Analiza!AK68,WPF_Analiza!AL68,WPF_Analiza!AM68,WPF_Analiza!AN68,WPF_Analiza!AO68)/7,4)),0)</f>
        <v>0</v>
      </c>
      <c r="AQ4" s="519">
        <f>+IF(WPF_Analiza!AQ9&lt;=Ostatni_rok_analizy,IF(WPF_Analiza!AQ9&lt;=2025,ROUND(SUM(WPF_Analiza!AN67,WPF_Analiza!AO67,WPF_Analiza!AP67,WPF_Analiza!AM67,WPF_Analiza!AL67,WPF_Analiza!AK67,WPF_Analiza!AJ67)/7,4),+ROUND(SUM(WPF_Analiza!AJ68,WPF_Analiza!AK68,WPF_Analiza!AL68,WPF_Analiza!AM68,WPF_Analiza!AN68,WPF_Analiza!AO68,WPF_Analiza!AP68)/7,4)),0)</f>
        <v>0</v>
      </c>
      <c r="AR4" s="519">
        <f>+IF(WPF_Analiza!AR9&lt;=Ostatni_rok_analizy,IF(WPF_Analiza!AR9&lt;=2025,ROUND(SUM(WPF_Analiza!AO67,WPF_Analiza!AP67,WPF_Analiza!AQ67,WPF_Analiza!AN67,WPF_Analiza!AM67,WPF_Analiza!AL67,WPF_Analiza!AK67)/7,4),+ROUND(SUM(WPF_Analiza!AK68,WPF_Analiza!AL68,WPF_Analiza!AM68,WPF_Analiza!AN68,WPF_Analiza!AO68,WPF_Analiza!AP68,WPF_Analiza!AQ68)/7,4)),0)</f>
        <v>0</v>
      </c>
      <c r="AS4" s="519">
        <f>+IF(WPF_Analiza!AS9&lt;=Ostatni_rok_analizy,IF(WPF_Analiza!AS9&lt;=2025,ROUND(SUM(WPF_Analiza!AP67,WPF_Analiza!AQ67,WPF_Analiza!AR67,WPF_Analiza!AO67,WPF_Analiza!AN67,WPF_Analiza!AM67,WPF_Analiza!AL67)/7,4),+ROUND(SUM(WPF_Analiza!AL68,WPF_Analiza!AM68,WPF_Analiza!AN68,WPF_Analiza!AO68,WPF_Analiza!AP68,WPF_Analiza!AQ68,WPF_Analiza!AR68)/7,4)),0)</f>
        <v>0</v>
      </c>
      <c r="AT4" s="519">
        <f>+IF(WPF_Analiza!AT9&lt;=Ostatni_rok_analizy,IF(WPF_Analiza!AT9&lt;=2025,ROUND(SUM(WPF_Analiza!AQ67,WPF_Analiza!AR67,WPF_Analiza!AS67,WPF_Analiza!AP67,WPF_Analiza!AO67,WPF_Analiza!AN67,WPF_Analiza!AM67)/7,4),+ROUND(SUM(WPF_Analiza!AM68,WPF_Analiza!AN68,WPF_Analiza!AO68,WPF_Analiza!AP68,WPF_Analiza!AQ68,WPF_Analiza!AR68,WPF_Analiza!AS68)/7,4)),0)</f>
        <v>0</v>
      </c>
      <c r="AU4" s="519">
        <f>+IF(WPF_Analiza!AU9&lt;=Ostatni_rok_analizy,IF(WPF_Analiza!AU9&lt;=2025,ROUND(SUM(WPF_Analiza!AR67,WPF_Analiza!AS67,WPF_Analiza!AT67,WPF_Analiza!AQ67,WPF_Analiza!AP67,WPF_Analiza!AO67,WPF_Analiza!AN67)/7,4),+ROUND(SUM(WPF_Analiza!AN68,WPF_Analiza!AO68,WPF_Analiza!AP68,WPF_Analiza!AQ68,WPF_Analiza!AR68,WPF_Analiza!AS68,WPF_Analiza!AT68)/7,4)),0)</f>
        <v>0</v>
      </c>
      <c r="AV4" s="519">
        <f>+IF(WPF_Analiza!AV9&lt;=Ostatni_rok_analizy,IF(WPF_Analiza!AV9&lt;=2025,ROUND(SUM(WPF_Analiza!AS67,WPF_Analiza!AT67,WPF_Analiza!AU67,WPF_Analiza!AR67,WPF_Analiza!AQ67,WPF_Analiza!AP67,WPF_Analiza!AO67)/7,4),+ROUND(SUM(WPF_Analiza!AO68,WPF_Analiza!AP68,WPF_Analiza!AQ68,WPF_Analiza!AR68,WPF_Analiza!AS68,WPF_Analiza!AT68,WPF_Analiza!AU68)/7,4)),0)</f>
        <v>0</v>
      </c>
      <c r="AW4" s="519">
        <f>+IF(WPF_Analiza!AW9&lt;=Ostatni_rok_analizy,IF(WPF_Analiza!AW9&lt;=2025,ROUND(SUM(WPF_Analiza!AT67,WPF_Analiza!AU67,WPF_Analiza!AV67,WPF_Analiza!AS67,WPF_Analiza!AR67,WPF_Analiza!AQ67,WPF_Analiza!AP67)/7,4),+ROUND(SUM(WPF_Analiza!AP68,WPF_Analiza!AQ68,WPF_Analiza!AR68,WPF_Analiza!AS68,WPF_Analiza!AT68,WPF_Analiza!AU68,WPF_Analiza!AV68)/7,4)),0)</f>
        <v>0</v>
      </c>
      <c r="AX4" s="519">
        <f>+IF(WPF_Analiza!AX9&lt;=Ostatni_rok_analizy,IF(WPF_Analiza!AX9&lt;=2025,ROUND(SUM(WPF_Analiza!AU67,WPF_Analiza!AV67,WPF_Analiza!AW67,WPF_Analiza!AT67,WPF_Analiza!AS67,WPF_Analiza!AR67,WPF_Analiza!AQ67)/7,4),+ROUND(SUM(WPF_Analiza!AQ68,WPF_Analiza!AR68,WPF_Analiza!AS68,WPF_Analiza!AT68,WPF_Analiza!AU68,WPF_Analiza!AV68,WPF_Analiza!AW68)/7,4)),0)</f>
        <v>0</v>
      </c>
      <c r="AY4" s="519">
        <f>+IF(WPF_Analiza!AY9&lt;=Ostatni_rok_analizy,IF(WPF_Analiza!AY9&lt;=2025,ROUND(SUM(WPF_Analiza!AV67,WPF_Analiza!AW67,WPF_Analiza!AX67,WPF_Analiza!AU67,WPF_Analiza!AT67,WPF_Analiza!AS67,WPF_Analiza!AR67)/7,4),+ROUND(SUM(WPF_Analiza!AR68,WPF_Analiza!AS68,WPF_Analiza!AT68,WPF_Analiza!AU68,WPF_Analiza!AV68,WPF_Analiza!AW68,WPF_Analiza!AX68)/7,4)),0)</f>
        <v>0</v>
      </c>
      <c r="AZ4" s="519">
        <f>+IF(WPF_Analiza!AZ9&lt;=Ostatni_rok_analizy,IF(WPF_Analiza!AZ9&lt;=2025,ROUND(SUM(WPF_Analiza!AW67,WPF_Analiza!AX67,WPF_Analiza!AY67,WPF_Analiza!AV67,WPF_Analiza!AU67,WPF_Analiza!AT67,WPF_Analiza!AS67)/7,4),+ROUND(SUM(WPF_Analiza!AS68,WPF_Analiza!AT68,WPF_Analiza!AU68,WPF_Analiza!AV68,WPF_Analiza!AW68,WPF_Analiza!AX68,WPF_Analiza!AY68)/7,4)),0)</f>
        <v>0</v>
      </c>
      <c r="BA4" s="519">
        <f>+IF(WPF_Analiza!BA9&lt;=Ostatni_rok_analizy,IF(WPF_Analiza!BA9&lt;=2025,ROUND(SUM(WPF_Analiza!AX67,WPF_Analiza!AY67,WPF_Analiza!AZ67,WPF_Analiza!AW67,WPF_Analiza!AV67,WPF_Analiza!AU67,WPF_Analiza!AT67)/7,4),+ROUND(SUM(WPF_Analiza!AT68,WPF_Analiza!AU68,WPF_Analiza!AV68,WPF_Analiza!AW68,WPF_Analiza!AX68,WPF_Analiza!AY68,WPF_Analiza!AZ68)/7,4)),0)</f>
        <v>0</v>
      </c>
    </row>
    <row r="5" spans="1:53" s="246" customFormat="1" ht="40.5" outlineLevel="2">
      <c r="A5" s="244" t="s">
        <v>27</v>
      </c>
      <c r="B5" s="244" t="s">
        <v>27</v>
      </c>
      <c r="C5" s="517" t="s">
        <v>281</v>
      </c>
      <c r="D5" s="528" t="s">
        <v>370</v>
      </c>
      <c r="E5" s="525" t="s">
        <v>334</v>
      </c>
      <c r="F5" s="518" t="s">
        <v>27</v>
      </c>
      <c r="G5" s="518" t="s">
        <v>27</v>
      </c>
      <c r="H5" s="518" t="s">
        <v>27</v>
      </c>
      <c r="I5" s="518" t="s">
        <v>27</v>
      </c>
      <c r="J5" s="518" t="s">
        <v>27</v>
      </c>
      <c r="K5" s="518" t="s">
        <v>27</v>
      </c>
      <c r="L5" s="518" t="s">
        <v>27</v>
      </c>
      <c r="M5" s="521" t="s">
        <v>27</v>
      </c>
      <c r="N5" s="519">
        <f>+IF(WPF_Analiza!N9&lt;=Ostatni_rok_analizy,IF(WPF_Analiza!N9&lt;=2025,+ROUND(SUM(WPF_Analiza!K67,WPF_Analiza!F67,WPF_Analiza!M67,WPF_Analiza!J67,WPF_Analiza!I67,WPF_Analiza!H67,WPF_Analiza!G67)/7,4),+ROUND(SUM(WPF_Analiza!G68,WPF_Analiza!H68,WPF_Analiza!I68,WPF_Analiza!J68,WPF_Analiza!K68,WPF_Analiza!F68,WPF_Analiza!M68)/7,4)),0)</f>
        <v>0.1769</v>
      </c>
      <c r="O5" s="519">
        <f>+IF(WPF_Analiza!O9&lt;=Ostatni_rok_analizy,IF(WPF_Analiza!O9&lt;=2025,+ROUND(SUM(WPF_Analiza!G67,WPF_Analiza!M67,WPF_Analiza!N67,WPF_Analiza!K67,WPF_Analiza!J67,WPF_Analiza!I67,WPF_Analiza!H67)/7,4),+ROUND(SUM(WPF_Analiza!H68,WPF_Analiza!I68,WPF_Analiza!J68,WPF_Analiza!K68,WPF_Analiza!G68,WPF_Analiza!M68,WPF_Analiza!N68)/7,4)),0)</f>
        <v>0.16789999999999999</v>
      </c>
      <c r="P5" s="519">
        <f>+IF(WPF_Analiza!P9&lt;=Ostatni_rok_analizy,IF(WPF_Analiza!P9&lt;=2025,+ROUND(SUM(WPF_Analiza!M67,WPF_Analiza!N67,WPF_Analiza!O67,WPF_Analiza!K67,WPF_Analiza!J67,WPF_Analiza!I67,WPF_Analiza!H67)/7,4),+ROUND(SUM(WPF_Analiza!H68,WPF_Analiza!I68,WPF_Analiza!J68,WPF_Analiza!K68,WPF_Analiza!M68,WPF_Analiza!N68,WPF_Analiza!O68)/7,4)),0)</f>
        <v>0.15359999999999999</v>
      </c>
      <c r="Q5" s="519">
        <f>+IF(WPF_Analiza!Q9&lt;=Ostatni_rok_analizy,IF(WPF_Analiza!Q9&lt;=2025,+ROUND(SUM(WPF_Analiza!N67,WPF_Analiza!O67,WPF_Analiza!P67,WPF_Analiza!M67,WPF_Analiza!K67,WPF_Analiza!J67,WPF_Analiza!I67)/7,4),+ROUND(SUM(WPF_Analiza!I68,WPF_Analiza!J68,WPF_Analiza!K68,WPF_Analiza!M68,WPF_Analiza!N68,WPF_Analiza!O68,WPF_Analiza!P68)/7,4)),0)</f>
        <v>0.1444</v>
      </c>
      <c r="R5" s="519">
        <f>+IF(WPF_Analiza!R9&lt;=Ostatni_rok_analizy,IF(WPF_Analiza!R9&lt;=2025,+ROUND(SUM(WPF_Analiza!O67,WPF_Analiza!P67,WPF_Analiza!Q67,WPF_Analiza!N67,WPF_Analiza!M67,WPF_Analiza!K67,WPF_Analiza!J67)/7,4),+ROUND(SUM(WPF_Analiza!J68,WPF_Analiza!K68,WPF_Analiza!M68,WPF_Analiza!N68,WPF_Analiza!O68,WPF_Analiza!P68,WPF_Analiza!Q68)/7,4)),0)</f>
        <v>0.11749999999999999</v>
      </c>
      <c r="S5" s="519">
        <f>+IF(WPF_Analiza!S9&lt;=Ostatni_rok_analizy,IF(WPF_Analiza!S9&lt;=2025,+ROUND(SUM(WPF_Analiza!P67,WPF_Analiza!Q67,WPF_Analiza!R67,WPF_Analiza!O67,WPF_Analiza!N67,WPF_Analiza!M67,WPF_Analiza!K67)/7,4),+ROUND(SUM(WPF_Analiza!K68,WPF_Analiza!M68,WPF_Analiza!N68,WPF_Analiza!O68,WPF_Analiza!P68,WPF_Analiza!Q68,WPF_Analiza!R68)/7,4)),0)</f>
        <v>0.10539999999999999</v>
      </c>
      <c r="T5" s="519">
        <f>+IF(WPF_Analiza!T9&lt;=Ostatni_rok_analizy,IF(WPF_Analiza!T9&lt;=2025,+ROUND(SUM(WPF_Analiza!Q67,WPF_Analiza!R67,WPF_Analiza!S67,WPF_Analiza!P67,WPF_Analiza!O67,WPF_Analiza!N67,WPF_Analiza!M67)/7,4),+ROUND(SUM(WPF_Analiza!M68,WPF_Analiza!N68,WPF_Analiza!O68,WPF_Analiza!P68,WPF_Analiza!Q68,WPF_Analiza!R68,WPF_Analiza!S68)/7,4)),0)</f>
        <v>0.1003</v>
      </c>
      <c r="U5" s="519">
        <f>+IF(WPF_Analiza!U9&lt;=Ostatni_rok_analizy,IF(WPF_Analiza!U9&lt;=2025,+ROUND(SUM(WPF_Analiza!R67,WPF_Analiza!S67,WPF_Analiza!T67,WPF_Analiza!Q67,WPF_Analiza!P67,WPF_Analiza!O67,WPF_Analiza!N67)/7,4),+ROUND(SUM(WPF_Analiza!N68,WPF_Analiza!O68,WPF_Analiza!P68,WPF_Analiza!Q68,WPF_Analiza!R68,WPF_Analiza!S68,WPF_Analiza!T68)/7,4)),0)</f>
        <v>8.9300000000000004E-2</v>
      </c>
      <c r="V5" s="519">
        <f>+IF(WPF_Analiza!V9&lt;=Ostatni_rok_analizy,IF(WPF_Analiza!V9&lt;=2025,+ROUND(SUM(WPF_Analiza!S67,WPF_Analiza!T67,WPF_Analiza!U67,WPF_Analiza!R67,WPF_Analiza!Q67,WPF_Analiza!P67,WPF_Analiza!O67)/7,4),+ROUND(SUM(WPF_Analiza!O68,WPF_Analiza!P68,WPF_Analiza!Q68,WPF_Analiza!R68,WPF_Analiza!S68,WPF_Analiza!T68,WPF_Analiza!U68)/7,4)),0)</f>
        <v>0.10050000000000001</v>
      </c>
      <c r="W5" s="519">
        <f>+IF(WPF_Analiza!W9&lt;=Ostatni_rok_analizy,IF(WPF_Analiza!W9&lt;=2025,+ROUND(SUM(WPF_Analiza!T67,WPF_Analiza!U67,WPF_Analiza!V67,WPF_Analiza!S67,WPF_Analiza!R67,WPF_Analiza!Q67,WPF_Analiza!P67)/7,4),+ROUND(SUM(WPF_Analiza!P68,WPF_Analiza!Q68,WPF_Analiza!R68,WPF_Analiza!S68,WPF_Analiza!T68,WPF_Analiza!U68,WPF_Analiza!V68)/7,4)),0)</f>
        <v>0.1086</v>
      </c>
      <c r="X5" s="519">
        <f>+IF(WPF_Analiza!X9&lt;=Ostatni_rok_analizy,IF(WPF_Analiza!X9&lt;=2025,+ROUND(SUM(WPF_Analiza!U67,WPF_Analiza!V67,WPF_Analiza!W67,WPF_Analiza!T67,WPF_Analiza!S67,WPF_Analiza!R67,WPF_Analiza!Q67)/7,4),+ROUND(SUM(WPF_Analiza!Q68,WPF_Analiza!R68,WPF_Analiza!S68,WPF_Analiza!T68,WPF_Analiza!U68,WPF_Analiza!V68,WPF_Analiza!W68)/7,4)),0)</f>
        <v>0.1174</v>
      </c>
      <c r="Y5" s="519">
        <f>+IF(WPF_Analiza!Y9&lt;=Ostatni_rok_analizy,IF(WPF_Analiza!Y9&lt;=2025,+ROUND(SUM(WPF_Analiza!V67,WPF_Analiza!W67,WPF_Analiza!X67,WPF_Analiza!U67,WPF_Analiza!T67,WPF_Analiza!S67,WPF_Analiza!R67)/7,4),+ROUND(SUM(WPF_Analiza!R68,WPF_Analiza!S68,WPF_Analiza!T68,WPF_Analiza!U68,WPF_Analiza!V68,WPF_Analiza!W68,WPF_Analiza!X68)/7,4)),0)</f>
        <v>0.12470000000000001</v>
      </c>
      <c r="Z5" s="519">
        <f>+IF(WPF_Analiza!Z9&lt;=Ostatni_rok_analizy,IF(WPF_Analiza!Z9&lt;=2025,+ROUND(SUM(WPF_Analiza!W67,WPF_Analiza!X67,WPF_Analiza!Y67,WPF_Analiza!V67,WPF_Analiza!U67,WPF_Analiza!T67,WPF_Analiza!S67)/7,4),+ROUND(SUM(WPF_Analiza!S68,WPF_Analiza!T68,WPF_Analiza!U68,WPF_Analiza!V68,WPF_Analiza!W68,WPF_Analiza!X68,WPF_Analiza!Y68)/7,4)),0)</f>
        <v>0</v>
      </c>
      <c r="AA5" s="519">
        <f>+IF(WPF_Analiza!AA9&lt;=Ostatni_rok_analizy,IF(WPF_Analiza!AA9&lt;=2025,+ROUND(SUM(WPF_Analiza!X67,WPF_Analiza!Y67,WPF_Analiza!Z67,WPF_Analiza!W67,WPF_Analiza!V67,WPF_Analiza!U67,WPF_Analiza!T67)/7,4),+ROUND(SUM(WPF_Analiza!T68,WPF_Analiza!U68,WPF_Analiza!V68,WPF_Analiza!W68,WPF_Analiza!X68,WPF_Analiza!Y68,WPF_Analiza!Z68)/7,4)),0)</f>
        <v>0</v>
      </c>
      <c r="AB5" s="519">
        <f>+IF(WPF_Analiza!AB9&lt;=Ostatni_rok_analizy,IF(WPF_Analiza!AB9&lt;=2025,+ROUND(SUM(WPF_Analiza!Y67,WPF_Analiza!Z67,WPF_Analiza!AA67,WPF_Analiza!X67,WPF_Analiza!W67,WPF_Analiza!V67,WPF_Analiza!U67)/7,4),+ROUND(SUM(WPF_Analiza!U68,WPF_Analiza!V68,WPF_Analiza!W68,WPF_Analiza!X68,WPF_Analiza!Y68,WPF_Analiza!Z68,WPF_Analiza!AA68)/7,4)),0)</f>
        <v>0</v>
      </c>
      <c r="AC5" s="519">
        <f>+IF(WPF_Analiza!AC9&lt;=Ostatni_rok_analizy,IF(WPF_Analiza!AC9&lt;=2025,+ROUND(SUM(WPF_Analiza!Z67,WPF_Analiza!AA67,WPF_Analiza!AB67,WPF_Analiza!Y67,WPF_Analiza!X67,WPF_Analiza!W67,WPF_Analiza!V67)/7,4),+ROUND(SUM(WPF_Analiza!V68,WPF_Analiza!W68,WPF_Analiza!X68,WPF_Analiza!Y68,WPF_Analiza!Z68,WPF_Analiza!AA68,WPF_Analiza!AB68)/7,4)),0)</f>
        <v>0</v>
      </c>
      <c r="AD5" s="519">
        <f>+IF(WPF_Analiza!AD9&lt;=Ostatni_rok_analizy,IF(WPF_Analiza!AD9&lt;=2025,+ROUND(SUM(WPF_Analiza!AA67,WPF_Analiza!AB67,WPF_Analiza!AC67,WPF_Analiza!Z67,WPF_Analiza!Y67,WPF_Analiza!X67,WPF_Analiza!W67)/7,4),+ROUND(SUM(WPF_Analiza!W68,WPF_Analiza!X68,WPF_Analiza!Y68,WPF_Analiza!Z68,WPF_Analiza!AA68,WPF_Analiza!AB68,WPF_Analiza!AC68)/7,4)),0)</f>
        <v>0</v>
      </c>
      <c r="AE5" s="519">
        <f>+IF(WPF_Analiza!AE9&lt;=Ostatni_rok_analizy,IF(WPF_Analiza!AE9&lt;=2025,+ROUND(SUM(WPF_Analiza!AB67,WPF_Analiza!AC67,WPF_Analiza!AD67,WPF_Analiza!AA67,WPF_Analiza!Z67,WPF_Analiza!Y67,WPF_Analiza!X67)/7,4),+ROUND(SUM(WPF_Analiza!X68,WPF_Analiza!Y68,WPF_Analiza!Z68,WPF_Analiza!AA68,WPF_Analiza!AB68,WPF_Analiza!AC68,WPF_Analiza!AD68)/7,4)),0)</f>
        <v>0</v>
      </c>
      <c r="AF5" s="519">
        <f>+IF(WPF_Analiza!AF9&lt;=Ostatni_rok_analizy,IF(WPF_Analiza!AF9&lt;=2025,+ROUND(SUM(WPF_Analiza!AC67,WPF_Analiza!AD67,WPF_Analiza!AE67,WPF_Analiza!AB67,WPF_Analiza!AA67,WPF_Analiza!Z67,WPF_Analiza!Y67)/7,4),+ROUND(SUM(WPF_Analiza!Y68,WPF_Analiza!Z68,WPF_Analiza!AA68,WPF_Analiza!AB68,WPF_Analiza!AC68,WPF_Analiza!AD68,WPF_Analiza!AE68)/7,4)),0)</f>
        <v>0</v>
      </c>
      <c r="AG5" s="519">
        <f>+IF(WPF_Analiza!AG9&lt;=Ostatni_rok_analizy,IF(WPF_Analiza!AG9&lt;=2025,+ROUND(SUM(WPF_Analiza!AD67,WPF_Analiza!AE67,WPF_Analiza!AF67,WPF_Analiza!AC67,WPF_Analiza!AB67,WPF_Analiza!AA67,WPF_Analiza!Z67)/7,4),+ROUND(SUM(WPF_Analiza!Z68,WPF_Analiza!AA68,WPF_Analiza!AB68,WPF_Analiza!AC68,WPF_Analiza!AD68,WPF_Analiza!AE68,WPF_Analiza!AF68)/7,4)),0)</f>
        <v>0</v>
      </c>
      <c r="AH5" s="519">
        <f>+IF(WPF_Analiza!AH9&lt;=Ostatni_rok_analizy,IF(WPF_Analiza!AH9&lt;=2025,+ROUND(SUM(WPF_Analiza!AE67,WPF_Analiza!AF67,WPF_Analiza!AG67,WPF_Analiza!AD67,WPF_Analiza!AC67,WPF_Analiza!AB67,WPF_Analiza!AA67)/7,4),+ROUND(SUM(WPF_Analiza!AA68,WPF_Analiza!AB68,WPF_Analiza!AC68,WPF_Analiza!AD68,WPF_Analiza!AE68,WPF_Analiza!AF68,WPF_Analiza!AG68)/7,4)),0)</f>
        <v>0</v>
      </c>
      <c r="AI5" s="519">
        <f>+IF(WPF_Analiza!AI9&lt;=Ostatni_rok_analizy,IF(WPF_Analiza!AI9&lt;=2025,+ROUND(SUM(WPF_Analiza!AF67,WPF_Analiza!AG67,WPF_Analiza!AH67,WPF_Analiza!AE67,WPF_Analiza!AD67,WPF_Analiza!AC67,WPF_Analiza!AB67)/7,4),+ROUND(SUM(WPF_Analiza!AB68,WPF_Analiza!AC68,WPF_Analiza!AD68,WPF_Analiza!AE68,WPF_Analiza!AF68,WPF_Analiza!AG68,WPF_Analiza!AH68)/7,4)),0)</f>
        <v>0</v>
      </c>
      <c r="AJ5" s="519">
        <f>+IF(WPF_Analiza!AJ9&lt;=Ostatni_rok_analizy,IF(WPF_Analiza!AJ9&lt;=2025,+ROUND(SUM(WPF_Analiza!AG67,WPF_Analiza!AH67,WPF_Analiza!AI67,WPF_Analiza!AF67,WPF_Analiza!AE67,WPF_Analiza!AD67,WPF_Analiza!AC67)/7,4),+ROUND(SUM(WPF_Analiza!AC68,WPF_Analiza!AD68,WPF_Analiza!AE68,WPF_Analiza!AF68,WPF_Analiza!AG68,WPF_Analiza!AH68,WPF_Analiza!AI68)/7,4)),0)</f>
        <v>0</v>
      </c>
      <c r="AK5" s="519">
        <f>+IF(WPF_Analiza!AK9&lt;=Ostatni_rok_analizy,IF(WPF_Analiza!AK9&lt;=2025,+ROUND(SUM(WPF_Analiza!AH67,WPF_Analiza!AI67,WPF_Analiza!AJ67,WPF_Analiza!AG67,WPF_Analiza!AF67,WPF_Analiza!AE67,WPF_Analiza!AD67)/7,4),+ROUND(SUM(WPF_Analiza!AD68,WPF_Analiza!AE68,WPF_Analiza!AF68,WPF_Analiza!AG68,WPF_Analiza!AH68,WPF_Analiza!AI68,WPF_Analiza!AJ68)/7,4)),0)</f>
        <v>0</v>
      </c>
      <c r="AL5" s="519">
        <f>+IF(WPF_Analiza!AL9&lt;=Ostatni_rok_analizy,IF(WPF_Analiza!AL9&lt;=2025,+ROUND(SUM(WPF_Analiza!AI67,WPF_Analiza!AJ67,WPF_Analiza!AK67,WPF_Analiza!AH67,WPF_Analiza!AG67,WPF_Analiza!AF67,WPF_Analiza!AE67)/7,4),+ROUND(SUM(WPF_Analiza!AE68,WPF_Analiza!AF68,WPF_Analiza!AG68,WPF_Analiza!AH68,WPF_Analiza!AI68,WPF_Analiza!AJ68,WPF_Analiza!AK68)/7,4)),0)</f>
        <v>0</v>
      </c>
      <c r="AM5" s="519">
        <f>+IF(WPF_Analiza!AM9&lt;=Ostatni_rok_analizy,IF(WPF_Analiza!AM9&lt;=2025,+ROUND(SUM(WPF_Analiza!AJ67,WPF_Analiza!AK67,WPF_Analiza!AL67,WPF_Analiza!AI67,WPF_Analiza!AH67,WPF_Analiza!AG67,WPF_Analiza!AF67)/7,4),+ROUND(SUM(WPF_Analiza!AF68,WPF_Analiza!AG68,WPF_Analiza!AH68,WPF_Analiza!AI68,WPF_Analiza!AJ68,WPF_Analiza!AK68,WPF_Analiza!AL68)/7,4)),0)</f>
        <v>0</v>
      </c>
      <c r="AN5" s="519">
        <f>+IF(WPF_Analiza!AN9&lt;=Ostatni_rok_analizy,IF(WPF_Analiza!AN9&lt;=2025,+ROUND(SUM(WPF_Analiza!AK67,WPF_Analiza!AL67,WPF_Analiza!AM67,WPF_Analiza!AJ67,WPF_Analiza!AI67,WPF_Analiza!AH67,WPF_Analiza!AG67)/7,4),+ROUND(SUM(WPF_Analiza!AG68,WPF_Analiza!AH68,WPF_Analiza!AI68,WPF_Analiza!AJ68,WPF_Analiza!AK68,WPF_Analiza!AL68,WPF_Analiza!AM68)/7,4)),0)</f>
        <v>0</v>
      </c>
      <c r="AO5" s="519">
        <f>+IF(WPF_Analiza!AO9&lt;=Ostatni_rok_analizy,IF(WPF_Analiza!AO9&lt;=2025,+ROUND(SUM(WPF_Analiza!AL67,WPF_Analiza!AM67,WPF_Analiza!AN67,WPF_Analiza!AK67,WPF_Analiza!AJ67,WPF_Analiza!AI67,WPF_Analiza!AH67)/7,4),+ROUND(SUM(WPF_Analiza!AH68,WPF_Analiza!AI68,WPF_Analiza!AJ68,WPF_Analiza!AK68,WPF_Analiza!AL68,WPF_Analiza!AM68,WPF_Analiza!AN68)/7,4)),0)</f>
        <v>0</v>
      </c>
      <c r="AP5" s="519">
        <f>+IF(WPF_Analiza!AP9&lt;=Ostatni_rok_analizy,IF(WPF_Analiza!AP9&lt;=2025,+ROUND(SUM(WPF_Analiza!AM67,WPF_Analiza!AN67,WPF_Analiza!AO67,WPF_Analiza!AL67,WPF_Analiza!AK67,WPF_Analiza!AJ67,WPF_Analiza!AI67)/7,4),+ROUND(SUM(WPF_Analiza!AI68,WPF_Analiza!AJ68,WPF_Analiza!AK68,WPF_Analiza!AL68,WPF_Analiza!AM68,WPF_Analiza!AN68,WPF_Analiza!AO68)/7,4)),0)</f>
        <v>0</v>
      </c>
      <c r="AQ5" s="519">
        <f>+IF(WPF_Analiza!AQ9&lt;=Ostatni_rok_analizy,IF(WPF_Analiza!AQ9&lt;=2025,+ROUND(SUM(WPF_Analiza!AN67,WPF_Analiza!AO67,WPF_Analiza!AP67,WPF_Analiza!AM67,WPF_Analiza!AL67,WPF_Analiza!AK67,WPF_Analiza!AJ67)/7,4),+ROUND(SUM(WPF_Analiza!AJ68,WPF_Analiza!AK68,WPF_Analiza!AL68,WPF_Analiza!AM68,WPF_Analiza!AN68,WPF_Analiza!AO68,WPF_Analiza!AP68)/7,4)),0)</f>
        <v>0</v>
      </c>
      <c r="AR5" s="519">
        <f>+IF(WPF_Analiza!AR9&lt;=Ostatni_rok_analizy,IF(WPF_Analiza!AR9&lt;=2025,+ROUND(SUM(WPF_Analiza!AO67,WPF_Analiza!AP67,WPF_Analiza!AQ67,WPF_Analiza!AN67,WPF_Analiza!AM67,WPF_Analiza!AL67,WPF_Analiza!AK67)/7,4),+ROUND(SUM(WPF_Analiza!AK68,WPF_Analiza!AL68,WPF_Analiza!AM68,WPF_Analiza!AN68,WPF_Analiza!AO68,WPF_Analiza!AP68,WPF_Analiza!AQ68)/7,4)),0)</f>
        <v>0</v>
      </c>
      <c r="AS5" s="519">
        <f>+IF(WPF_Analiza!AS9&lt;=Ostatni_rok_analizy,IF(WPF_Analiza!AS9&lt;=2025,+ROUND(SUM(WPF_Analiza!AP67,WPF_Analiza!AQ67,WPF_Analiza!AR67,WPF_Analiza!AO67,WPF_Analiza!AN67,WPF_Analiza!AM67,WPF_Analiza!AL67)/7,4),+ROUND(SUM(WPF_Analiza!AL68,WPF_Analiza!AM68,WPF_Analiza!AN68,WPF_Analiza!AO68,WPF_Analiza!AP68,WPF_Analiza!AQ68,WPF_Analiza!AR68)/7,4)),0)</f>
        <v>0</v>
      </c>
      <c r="AT5" s="519">
        <f>+IF(WPF_Analiza!AT9&lt;=Ostatni_rok_analizy,IF(WPF_Analiza!AT9&lt;=2025,+ROUND(SUM(WPF_Analiza!AQ67,WPF_Analiza!AR67,WPF_Analiza!AS67,WPF_Analiza!AP67,WPF_Analiza!AO67,WPF_Analiza!AN67,WPF_Analiza!AM67)/7,4),+ROUND(SUM(WPF_Analiza!AM68,WPF_Analiza!AN68,WPF_Analiza!AO68,WPF_Analiza!AP68,WPF_Analiza!AQ68,WPF_Analiza!AR68,WPF_Analiza!AS68)/7,4)),0)</f>
        <v>0</v>
      </c>
      <c r="AU5" s="519">
        <f>+IF(WPF_Analiza!AU9&lt;=Ostatni_rok_analizy,IF(WPF_Analiza!AU9&lt;=2025,+ROUND(SUM(WPF_Analiza!AR67,WPF_Analiza!AS67,WPF_Analiza!AT67,WPF_Analiza!AQ67,WPF_Analiza!AP67,WPF_Analiza!AO67,WPF_Analiza!AN67)/7,4),+ROUND(SUM(WPF_Analiza!AN68,WPF_Analiza!AO68,WPF_Analiza!AP68,WPF_Analiza!AQ68,WPF_Analiza!AR68,WPF_Analiza!AS68,WPF_Analiza!AT68)/7,4)),0)</f>
        <v>0</v>
      </c>
      <c r="AV5" s="519">
        <f>+IF(WPF_Analiza!AV9&lt;=Ostatni_rok_analizy,IF(WPF_Analiza!AV9&lt;=2025,+ROUND(SUM(WPF_Analiza!AS67,WPF_Analiza!AT67,WPF_Analiza!AU67,WPF_Analiza!AR67,WPF_Analiza!AQ67,WPF_Analiza!AP67,WPF_Analiza!AO67)/7,4),+ROUND(SUM(WPF_Analiza!AO68,WPF_Analiza!AP68,WPF_Analiza!AQ68,WPF_Analiza!AR68,WPF_Analiza!AS68,WPF_Analiza!AT68,WPF_Analiza!AU68)/7,4)),0)</f>
        <v>0</v>
      </c>
      <c r="AW5" s="519">
        <f>+IF(WPF_Analiza!AW9&lt;=Ostatni_rok_analizy,IF(WPF_Analiza!AW9&lt;=2025,+ROUND(SUM(WPF_Analiza!AT67,WPF_Analiza!AU67,WPF_Analiza!AV67,WPF_Analiza!AS67,WPF_Analiza!AR67,WPF_Analiza!AQ67,WPF_Analiza!AP67)/7,4),+ROUND(SUM(WPF_Analiza!AP68,WPF_Analiza!AQ68,WPF_Analiza!AR68,WPF_Analiza!AS68,WPF_Analiza!AT68,WPF_Analiza!AU68,WPF_Analiza!AV68)/7,4)),0)</f>
        <v>0</v>
      </c>
      <c r="AX5" s="519">
        <f>+IF(WPF_Analiza!AX9&lt;=Ostatni_rok_analizy,IF(WPF_Analiza!AX9&lt;=2025,+ROUND(SUM(WPF_Analiza!AU67,WPF_Analiza!AV67,WPF_Analiza!AW67,WPF_Analiza!AT67,WPF_Analiza!AS67,WPF_Analiza!AR67,WPF_Analiza!AQ67)/7,4),+ROUND(SUM(WPF_Analiza!AQ68,WPF_Analiza!AR68,WPF_Analiza!AS68,WPF_Analiza!AT68,WPF_Analiza!AU68,WPF_Analiza!AV68,WPF_Analiza!AW68)/7,4)),0)</f>
        <v>0</v>
      </c>
      <c r="AY5" s="519">
        <f>+IF(WPF_Analiza!AY9&lt;=Ostatni_rok_analizy,IF(WPF_Analiza!AY9&lt;=2025,+ROUND(SUM(WPF_Analiza!AV67,WPF_Analiza!AW67,WPF_Analiza!AX67,WPF_Analiza!AU67,WPF_Analiza!AT67,WPF_Analiza!AS67,WPF_Analiza!AR67)/7,4),+ROUND(SUM(WPF_Analiza!AR68,WPF_Analiza!AS68,WPF_Analiza!AT68,WPF_Analiza!AU68,WPF_Analiza!AV68,WPF_Analiza!AW68,WPF_Analiza!AX68)/7,4)),0)</f>
        <v>0</v>
      </c>
      <c r="AZ5" s="519">
        <f>+IF(WPF_Analiza!AZ9&lt;=Ostatni_rok_analizy,IF(WPF_Analiza!AZ9&lt;=2025,+ROUND(SUM(WPF_Analiza!AW67,WPF_Analiza!AX67,WPF_Analiza!AY67,WPF_Analiza!AV67,WPF_Analiza!AU67,WPF_Analiza!AT67,WPF_Analiza!AS67)/7,4),+ROUND(SUM(WPF_Analiza!AS68,WPF_Analiza!AT68,WPF_Analiza!AU68,WPF_Analiza!AV68,WPF_Analiza!AW68,WPF_Analiza!AX68,WPF_Analiza!AY68)/7,4)),0)</f>
        <v>0</v>
      </c>
      <c r="BA5" s="519">
        <f>+IF(WPF_Analiza!BA9&lt;=Ostatni_rok_analizy,IF(WPF_Analiza!BA9&lt;=2025,+ROUND(SUM(WPF_Analiza!AX67,WPF_Analiza!AY67,WPF_Analiza!AZ67,WPF_Analiza!AW67,WPF_Analiza!AV67,WPF_Analiza!AU67,WPF_Analiza!AT67)/7,4),+ROUND(SUM(WPF_Analiza!AT68,WPF_Analiza!AU68,WPF_Analiza!AV68,WPF_Analiza!AW68,WPF_Analiza!AX68,WPF_Analiza!AY68,WPF_Analiza!AZ68)/7,4)),0)</f>
        <v>0</v>
      </c>
    </row>
    <row r="6" spans="1:53" s="128" customFormat="1">
      <c r="A6" s="127"/>
      <c r="B6" s="238"/>
      <c r="C6" s="129"/>
      <c r="D6" s="499"/>
      <c r="E6" s="520" t="s">
        <v>724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</row>
    <row r="7" spans="1:53" s="246" customFormat="1" ht="40.5" outlineLevel="1">
      <c r="A7" s="244" t="s">
        <v>27</v>
      </c>
      <c r="B7" s="244" t="s">
        <v>27</v>
      </c>
      <c r="C7" s="517" t="s">
        <v>303</v>
      </c>
      <c r="D7" s="529" t="s">
        <v>369</v>
      </c>
      <c r="E7" s="524" t="s">
        <v>333</v>
      </c>
      <c r="F7" s="518" t="s">
        <v>27</v>
      </c>
      <c r="G7" s="518" t="s">
        <v>27</v>
      </c>
      <c r="H7" s="518" t="s">
        <v>27</v>
      </c>
      <c r="I7" s="518" t="s">
        <v>27</v>
      </c>
      <c r="J7" s="518" t="s">
        <v>27</v>
      </c>
      <c r="K7" s="518" t="s">
        <v>27</v>
      </c>
      <c r="L7" s="518" t="s">
        <v>27</v>
      </c>
      <c r="M7" s="521" t="s">
        <v>27</v>
      </c>
      <c r="N7" s="519">
        <f>+IF(WPF_Analiza!N9&lt;=2025,ROUND(SUM(WPF_Analiza!J67,WPF_Analiza!K67,WPF_Analiza!L67)/3,4),7)</f>
        <v>0.13850000000000001</v>
      </c>
      <c r="O7" s="519">
        <f>+IF(WPF_Analiza!O9&lt;=2025,ROUND(SUM(WPF_Analiza!K67,WPF_Analiza!L67,WPF_Analiza!N67)/3,4),7)</f>
        <v>9.3299999999999994E-2</v>
      </c>
      <c r="P7" s="519">
        <f>+IF(WPF_Analiza!P9&lt;=2025,ROUND(SUM(WPF_Analiza!L67,WPF_Analiza!N67,WPF_Analiza!O67)/3,4),7)</f>
        <v>6.9400000000000003E-2</v>
      </c>
      <c r="Q7" s="519">
        <f>+IF(WPF_Analiza!Q9&lt;=2025,ROUND(SUM(WPF_Analiza!N67,WPF_Analiza!O67,WPF_Analiza!P67)/3,4),7)</f>
        <v>6.7900000000000002E-2</v>
      </c>
      <c r="R7" s="519">
        <f>+IF(WPF_Analiza!R9&lt;=Ostatni_rok_analizy,IF(WPF_Analiza!R9&lt;=2025,ROUND(SUM(WPF_Analiza!O67,WPF_Analiza!P67,WPF_Analiza!Q67)/3,4),+ROUND(SUM(WPF_Analiza!J68,WPF_Analiza!K68,WPF_Analiza!L68,WPF_Analiza!N68,WPF_Analiza!O68,WPF_Analiza!P68,WPF_Analiza!Q68)/7,4)),0)</f>
        <v>0.10050000000000001</v>
      </c>
      <c r="S7" s="519">
        <f>+IF(WPF_Analiza!S9&lt;=Ostatni_rok_analizy,IF(WPF_Analiza!S9&lt;=2025,ROUND(SUM(WPF_Analiza!P67,WPF_Analiza!Q67,WPF_Analiza!R67)/3,4),+ROUND(SUM(WPF_Analiza!K68,WPF_Analiza!L68,WPF_Analiza!N68,WPF_Analiza!O68,WPF_Analiza!P68,WPF_Analiza!Q68,WPF_Analiza!R68)/7,4)),0)</f>
        <v>8.8400000000000006E-2</v>
      </c>
      <c r="T7" s="519">
        <f>+IF(WPF_Analiza!T9&lt;=Ostatni_rok_analizy,IF(WPF_Analiza!T9&lt;=2025,ROUND(SUM(WPF_Analiza!Q67,WPF_Analiza!R67,WPF_Analiza!S67)/3,4),+ROUND(SUM(WPF_Analiza!L68,WPF_Analiza!N68,WPF_Analiza!O68,WPF_Analiza!P68,WPF_Analiza!Q68,WPF_Analiza!R68,WPF_Analiza!S68)/7,4)),0)</f>
        <v>8.3299999999999999E-2</v>
      </c>
      <c r="U7" s="519">
        <f>+IF(WPF_Analiza!U9&lt;=Ostatni_rok_analizy,IF(WPF_Analiza!U9&lt;=2025,ROUND(SUM(WPF_Analiza!R67,WPF_Analiza!S67,WPF_Analiza!T67)/3,4),+ROUND(SUM(WPF_Analiza!N68,WPF_Analiza!O68,WPF_Analiza!P68,WPF_Analiza!Q68,WPF_Analiza!R68,WPF_Analiza!S68,WPF_Analiza!T68)/7,4)),0)</f>
        <v>8.9300000000000004E-2</v>
      </c>
      <c r="V7" s="519">
        <f>+IF(WPF_Analiza!V9&lt;=Ostatni_rok_analizy,IF(WPF_Analiza!V9&lt;=2025,ROUND(SUM(WPF_Analiza!S67,WPF_Analiza!T67,WPF_Analiza!U67)/3,4),+ROUND(SUM(WPF_Analiza!O68,WPF_Analiza!P68,WPF_Analiza!Q68,WPF_Analiza!R68,WPF_Analiza!S68,WPF_Analiza!T68,WPF_Analiza!U68)/7,4)),0)</f>
        <v>0.10050000000000001</v>
      </c>
      <c r="W7" s="519">
        <f>+IF(WPF_Analiza!W9&lt;=Ostatni_rok_analizy,IF(WPF_Analiza!W9&lt;=2025,ROUND(SUM(WPF_Analiza!T67,WPF_Analiza!U67,WPF_Analiza!V67)/3,4),+ROUND(SUM(WPF_Analiza!P68,WPF_Analiza!Q68,WPF_Analiza!R68,WPF_Analiza!S68,WPF_Analiza!T68,WPF_Analiza!U68,WPF_Analiza!V68)/7,4)),0)</f>
        <v>0.1086</v>
      </c>
      <c r="X7" s="519">
        <f>+IF(WPF_Analiza!X9&lt;=Ostatni_rok_analizy,IF(WPF_Analiza!X9&lt;=2025,ROUND(SUM(WPF_Analiza!U67,WPF_Analiza!V67,WPF_Analiza!W67)/3,4),+ROUND(SUM(WPF_Analiza!Q68,WPF_Analiza!R68,WPF_Analiza!S68,WPF_Analiza!T68,WPF_Analiza!U68,WPF_Analiza!V68,WPF_Analiza!W68)/7,4)),0)</f>
        <v>0.1174</v>
      </c>
      <c r="Y7" s="519">
        <f>+IF(WPF_Analiza!Y9&lt;=Ostatni_rok_analizy,IF(WPF_Analiza!Y9&lt;=2025,ROUND(SUM(WPF_Analiza!V67,WPF_Analiza!W67,WPF_Analiza!X67)/3,4),+ROUND(SUM(WPF_Analiza!R68,WPF_Analiza!S68,WPF_Analiza!T68,WPF_Analiza!U68,WPF_Analiza!V68,WPF_Analiza!W68,WPF_Analiza!X68)/7,4)),0)</f>
        <v>0.12470000000000001</v>
      </c>
      <c r="Z7" s="519">
        <f>+IF(WPF_Analiza!Z9&lt;=Ostatni_rok_analizy,IF(WPF_Analiza!Z9&lt;=2025,ROUND(SUM(WPF_Analiza!W67,WPF_Analiza!X67,WPF_Analiza!Y67)/3,4),+ROUND(SUM(WPF_Analiza!S68,WPF_Analiza!T68,WPF_Analiza!U68,WPF_Analiza!V68,WPF_Analiza!W68,WPF_Analiza!X68,WPF_Analiza!Y68)/7,4)),0)</f>
        <v>0</v>
      </c>
      <c r="AA7" s="519">
        <f>+IF(WPF_Analiza!AA9&lt;=Ostatni_rok_analizy,IF(WPF_Analiza!AA9&lt;=2025,ROUND(SUM(WPF_Analiza!X67,WPF_Analiza!Y67,WPF_Analiza!Z67)/3,4),+ROUND(SUM(WPF_Analiza!T68,WPF_Analiza!U68,WPF_Analiza!V68,WPF_Analiza!W68,WPF_Analiza!X68,WPF_Analiza!Y68,WPF_Analiza!Z68)/7,4)),0)</f>
        <v>0</v>
      </c>
      <c r="AB7" s="519">
        <f>+IF(WPF_Analiza!AB9&lt;=Ostatni_rok_analizy,IF(WPF_Analiza!AB9&lt;=2025,ROUND(SUM(WPF_Analiza!Y67,WPF_Analiza!Z67,WPF_Analiza!AA67)/3,4),+ROUND(SUM(WPF_Analiza!U68,WPF_Analiza!V68,WPF_Analiza!W68,WPF_Analiza!X68,WPF_Analiza!Y68,WPF_Analiza!Z68,WPF_Analiza!AA68)/7,4)),0)</f>
        <v>0</v>
      </c>
      <c r="AC7" s="519">
        <f>+IF(WPF_Analiza!AC9&lt;=Ostatni_rok_analizy,IF(WPF_Analiza!AC9&lt;=2025,ROUND(SUM(WPF_Analiza!Z67,WPF_Analiza!AA67,WPF_Analiza!AB67)/3,4),+ROUND(SUM(WPF_Analiza!V68,WPF_Analiza!W68,WPF_Analiza!X68,WPF_Analiza!Y68,WPF_Analiza!Z68,WPF_Analiza!AA68,WPF_Analiza!AB68)/7,4)),0)</f>
        <v>0</v>
      </c>
      <c r="AD7" s="519">
        <f>+IF(WPF_Analiza!AD9&lt;=Ostatni_rok_analizy,IF(WPF_Analiza!AD9&lt;=2025,ROUND(SUM(WPF_Analiza!AA67,WPF_Analiza!AB67,WPF_Analiza!AC67)/3,4),+ROUND(SUM(WPF_Analiza!W68,WPF_Analiza!X68,WPF_Analiza!Y68,WPF_Analiza!Z68,WPF_Analiza!AA68,WPF_Analiza!AB68,WPF_Analiza!AC68)/7,4)),0)</f>
        <v>0</v>
      </c>
      <c r="AE7" s="519">
        <f>+IF(WPF_Analiza!AE9&lt;=Ostatni_rok_analizy,IF(WPF_Analiza!AE9&lt;=2025,ROUND(SUM(WPF_Analiza!AB67,WPF_Analiza!AC67,WPF_Analiza!AD67)/3,4),+ROUND(SUM(WPF_Analiza!X68,WPF_Analiza!Y68,WPF_Analiza!Z68,WPF_Analiza!AA68,WPF_Analiza!AB68,WPF_Analiza!AC68,WPF_Analiza!AD68)/7,4)),0)</f>
        <v>0</v>
      </c>
      <c r="AF7" s="519">
        <f>+IF(WPF_Analiza!AF9&lt;=Ostatni_rok_analizy,IF(WPF_Analiza!AF9&lt;=2025,ROUND(SUM(WPF_Analiza!AC67,WPF_Analiza!AD67,WPF_Analiza!AE67)/3,4),+ROUND(SUM(WPF_Analiza!Y68,WPF_Analiza!Z68,WPF_Analiza!AA68,WPF_Analiza!AB68,WPF_Analiza!AC68,WPF_Analiza!AD68,WPF_Analiza!AE68)/7,4)),0)</f>
        <v>0</v>
      </c>
      <c r="AG7" s="519">
        <f>+IF(WPF_Analiza!AG9&lt;=Ostatni_rok_analizy,IF(WPF_Analiza!AG9&lt;=2025,ROUND(SUM(WPF_Analiza!AD67,WPF_Analiza!AE67,WPF_Analiza!AF67)/3,4),+ROUND(SUM(WPF_Analiza!Z68,WPF_Analiza!AA68,WPF_Analiza!AB68,WPF_Analiza!AC68,WPF_Analiza!AD68,WPF_Analiza!AE68,WPF_Analiza!AF68)/7,4)),0)</f>
        <v>0</v>
      </c>
      <c r="AH7" s="519">
        <f>+IF(WPF_Analiza!AH9&lt;=Ostatni_rok_analizy,IF(WPF_Analiza!AH9&lt;=2025,ROUND(SUM(WPF_Analiza!AE67,WPF_Analiza!AF67,WPF_Analiza!AG67)/3,4),+ROUND(SUM(WPF_Analiza!AA68,WPF_Analiza!AB68,WPF_Analiza!AC68,WPF_Analiza!AD68,WPF_Analiza!AE68,WPF_Analiza!AF68,WPF_Analiza!AG68)/7,4)),0)</f>
        <v>0</v>
      </c>
      <c r="AI7" s="519">
        <f>+IF(WPF_Analiza!AI9&lt;=Ostatni_rok_analizy,IF(WPF_Analiza!AI9&lt;=2025,ROUND(SUM(WPF_Analiza!AF67,WPF_Analiza!AG67,WPF_Analiza!AH67)/3,4),+ROUND(SUM(WPF_Analiza!AB68,WPF_Analiza!AC68,WPF_Analiza!AD68,WPF_Analiza!AE68,WPF_Analiza!AF68,WPF_Analiza!AG68,WPF_Analiza!AH68)/7,4)),0)</f>
        <v>0</v>
      </c>
      <c r="AJ7" s="519">
        <f>+IF(WPF_Analiza!AJ9&lt;=Ostatni_rok_analizy,IF(WPF_Analiza!AJ9&lt;=2025,ROUND(SUM(WPF_Analiza!AG67,WPF_Analiza!AH67,WPF_Analiza!AI67)/3,4),+ROUND(SUM(WPF_Analiza!AC68,WPF_Analiza!AD68,WPF_Analiza!AE68,WPF_Analiza!AF68,WPF_Analiza!AG68,WPF_Analiza!AH68,WPF_Analiza!AI68)/7,4)),0)</f>
        <v>0</v>
      </c>
      <c r="AK7" s="519">
        <f>+IF(WPF_Analiza!AK9&lt;=Ostatni_rok_analizy,IF(WPF_Analiza!AK9&lt;=2025,ROUND(SUM(WPF_Analiza!AH67,WPF_Analiza!AI67,WPF_Analiza!AJ67)/3,4),+ROUND(SUM(WPF_Analiza!AD68,WPF_Analiza!AE68,WPF_Analiza!AF68,WPF_Analiza!AG68,WPF_Analiza!AH68,WPF_Analiza!AI68,WPF_Analiza!AJ68)/7,4)),0)</f>
        <v>0</v>
      </c>
      <c r="AL7" s="519">
        <f>+IF(WPF_Analiza!AL9&lt;=Ostatni_rok_analizy,IF(WPF_Analiza!AL9&lt;=2025,ROUND(SUM(WPF_Analiza!AI67,WPF_Analiza!AJ67,WPF_Analiza!AK67)/3,4),+ROUND(SUM(WPF_Analiza!AE68,WPF_Analiza!AF68,WPF_Analiza!AG68,WPF_Analiza!AH68,WPF_Analiza!AI68,WPF_Analiza!AJ68,WPF_Analiza!AK68)/7,4)),0)</f>
        <v>0</v>
      </c>
      <c r="AM7" s="519">
        <f>+IF(WPF_Analiza!AM9&lt;=Ostatni_rok_analizy,IF(WPF_Analiza!AM9&lt;=2025,ROUND(SUM(WPF_Analiza!AJ67,WPF_Analiza!AK67,WPF_Analiza!AL67)/3,4),+ROUND(SUM(WPF_Analiza!AF68,WPF_Analiza!AG68,WPF_Analiza!AH68,WPF_Analiza!AI68,WPF_Analiza!AJ68,WPF_Analiza!AK68,WPF_Analiza!AL68)/7,4)),0)</f>
        <v>0</v>
      </c>
      <c r="AN7" s="519">
        <f>+IF(WPF_Analiza!AN9&lt;=Ostatni_rok_analizy,IF(WPF_Analiza!AN9&lt;=2025,ROUND(SUM(WPF_Analiza!AK67,WPF_Analiza!AL67,WPF_Analiza!AM67)/3,4),+ROUND(SUM(WPF_Analiza!AG68,WPF_Analiza!AH68,WPF_Analiza!AI68,WPF_Analiza!AJ68,WPF_Analiza!AK68,WPF_Analiza!AL68,WPF_Analiza!AM68)/7,4)),0)</f>
        <v>0</v>
      </c>
      <c r="AO7" s="519">
        <f>+IF(WPF_Analiza!AO9&lt;=Ostatni_rok_analizy,IF(WPF_Analiza!AO9&lt;=2025,ROUND(SUM(WPF_Analiza!AL67,WPF_Analiza!AM67,WPF_Analiza!AN67)/3,4),+ROUND(SUM(WPF_Analiza!AH68,WPF_Analiza!AI68,WPF_Analiza!AJ68,WPF_Analiza!AK68,WPF_Analiza!AL68,WPF_Analiza!AM68,WPF_Analiza!AN68)/7,4)),0)</f>
        <v>0</v>
      </c>
      <c r="AP7" s="519">
        <f>+IF(WPF_Analiza!AP9&lt;=Ostatni_rok_analizy,IF(WPF_Analiza!AP9&lt;=2025,ROUND(SUM(WPF_Analiza!AM67,WPF_Analiza!AN67,WPF_Analiza!AO67)/3,4),+ROUND(SUM(WPF_Analiza!AI68,WPF_Analiza!AJ68,WPF_Analiza!AK68,WPF_Analiza!AL68,WPF_Analiza!AM68,WPF_Analiza!AN68,WPF_Analiza!AO68)/7,4)),0)</f>
        <v>0</v>
      </c>
      <c r="AQ7" s="519">
        <f>+IF(WPF_Analiza!AQ9&lt;=Ostatni_rok_analizy,IF(WPF_Analiza!AQ9&lt;=2025,ROUND(SUM(WPF_Analiza!AN67,WPF_Analiza!AO67,WPF_Analiza!AP67)/3,4),+ROUND(SUM(WPF_Analiza!AJ68,WPF_Analiza!AK68,WPF_Analiza!AL68,WPF_Analiza!AM68,WPF_Analiza!AN68,WPF_Analiza!AO68,WPF_Analiza!AP68)/7,4)),0)</f>
        <v>0</v>
      </c>
      <c r="AR7" s="519">
        <f>+IF(WPF_Analiza!AR9&lt;=Ostatni_rok_analizy,IF(WPF_Analiza!AR9&lt;=2025,ROUND(SUM(WPF_Analiza!AO67,WPF_Analiza!AP67,WPF_Analiza!AQ67)/3,4),+ROUND(SUM(WPF_Analiza!AK68,WPF_Analiza!AL68,WPF_Analiza!AM68,WPF_Analiza!AN68,WPF_Analiza!AO68,WPF_Analiza!AP68,WPF_Analiza!AQ68)/7,4)),0)</f>
        <v>0</v>
      </c>
      <c r="AS7" s="519">
        <f>+IF(WPF_Analiza!AS9&lt;=Ostatni_rok_analizy,IF(WPF_Analiza!AS9&lt;=2025,ROUND(SUM(WPF_Analiza!AP67,WPF_Analiza!AQ67,WPF_Analiza!AR67)/3,4),+ROUND(SUM(WPF_Analiza!AL68,WPF_Analiza!AM68,WPF_Analiza!AN68,WPF_Analiza!AO68,WPF_Analiza!AP68,WPF_Analiza!AQ68,WPF_Analiza!AR68)/7,4)),0)</f>
        <v>0</v>
      </c>
      <c r="AT7" s="519">
        <f>+IF(WPF_Analiza!AT9&lt;=Ostatni_rok_analizy,IF(WPF_Analiza!AT9&lt;=2025,ROUND(SUM(WPF_Analiza!AQ67,WPF_Analiza!AR67,WPF_Analiza!AS67)/3,4),+ROUND(SUM(WPF_Analiza!AM68,WPF_Analiza!AN68,WPF_Analiza!AO68,WPF_Analiza!AP68,WPF_Analiza!AQ68,WPF_Analiza!AR68,WPF_Analiza!AS68)/7,4)),0)</f>
        <v>0</v>
      </c>
      <c r="AU7" s="519">
        <f>+IF(WPF_Analiza!AU9&lt;=Ostatni_rok_analizy,IF(WPF_Analiza!AU9&lt;=2025,ROUND(SUM(WPF_Analiza!AR67,WPF_Analiza!AS67,WPF_Analiza!AT67)/3,4),+ROUND(SUM(WPF_Analiza!AN68,WPF_Analiza!AO68,WPF_Analiza!AP68,WPF_Analiza!AQ68,WPF_Analiza!AR68,WPF_Analiza!AS68,WPF_Analiza!AT68)/7,4)),0)</f>
        <v>0</v>
      </c>
      <c r="AV7" s="519">
        <f>+IF(WPF_Analiza!AV9&lt;=Ostatni_rok_analizy,IF(WPF_Analiza!AV9&lt;=2025,ROUND(SUM(WPF_Analiza!AS67,WPF_Analiza!AT67,WPF_Analiza!AU67)/3,4),+ROUND(SUM(WPF_Analiza!AO68,WPF_Analiza!AP68,WPF_Analiza!AQ68,WPF_Analiza!AR68,WPF_Analiza!AS68,WPF_Analiza!AT68,WPF_Analiza!AU68)/7,4)),0)</f>
        <v>0</v>
      </c>
      <c r="AW7" s="519">
        <f>+IF(WPF_Analiza!AW9&lt;=Ostatni_rok_analizy,IF(WPF_Analiza!AW9&lt;=2025,ROUND(SUM(WPF_Analiza!AT67,WPF_Analiza!AU67,WPF_Analiza!AV67)/3,4),+ROUND(SUM(WPF_Analiza!AP68,WPF_Analiza!AQ68,WPF_Analiza!AR68,WPF_Analiza!AS68,WPF_Analiza!AT68,WPF_Analiza!AU68,WPF_Analiza!AV68)/7,4)),0)</f>
        <v>0</v>
      </c>
      <c r="AX7" s="519">
        <f>+IF(WPF_Analiza!AX9&lt;=Ostatni_rok_analizy,IF(WPF_Analiza!AX9&lt;=2025,ROUND(SUM(WPF_Analiza!AU67,WPF_Analiza!AV67,WPF_Analiza!AW67)/3,4),+ROUND(SUM(WPF_Analiza!AQ68,WPF_Analiza!AR68,WPF_Analiza!AS68,WPF_Analiza!AT68,WPF_Analiza!AU68,WPF_Analiza!AV68,WPF_Analiza!AW68)/7,4)),0)</f>
        <v>0</v>
      </c>
      <c r="AY7" s="519">
        <f>+IF(WPF_Analiza!AY9&lt;=Ostatni_rok_analizy,IF(WPF_Analiza!AY9&lt;=2025,ROUND(SUM(WPF_Analiza!AV67,WPF_Analiza!AW67,WPF_Analiza!AX67)/3,4),+ROUND(SUM(WPF_Analiza!AR68,WPF_Analiza!AS68,WPF_Analiza!AT68,WPF_Analiza!AU68,WPF_Analiza!AV68,WPF_Analiza!AW68,WPF_Analiza!AX68)/7,4)),0)</f>
        <v>0</v>
      </c>
      <c r="AZ7" s="519">
        <f>+IF(WPF_Analiza!AZ9&lt;=Ostatni_rok_analizy,IF(WPF_Analiza!AZ9&lt;=2025,ROUND(SUM(WPF_Analiza!AW67,WPF_Analiza!AX67,WPF_Analiza!AY67)/3,4),+ROUND(SUM(WPF_Analiza!AS68,WPF_Analiza!AT68,WPF_Analiza!AU68,WPF_Analiza!AV68,WPF_Analiza!AW68,WPF_Analiza!AX68,WPF_Analiza!AY68)/7,4)),0)</f>
        <v>0</v>
      </c>
      <c r="BA7" s="519">
        <f>+IF(WPF_Analiza!BA9&lt;=Ostatni_rok_analizy,IF(WPF_Analiza!BA9&lt;=2025,ROUND(SUM(WPF_Analiza!AX67,WPF_Analiza!AY67,WPF_Analiza!AZ67)/3,4),+ROUND(SUM(WPF_Analiza!AT68,WPF_Analiza!AU68,WPF_Analiza!AV68,WPF_Analiza!AW68,WPF_Analiza!AX68,WPF_Analiza!AY68,WPF_Analiza!AZ68)/7,4)),0)</f>
        <v>0</v>
      </c>
    </row>
    <row r="8" spans="1:53" s="246" customFormat="1" ht="40.5" outlineLevel="2">
      <c r="A8" s="244" t="s">
        <v>27</v>
      </c>
      <c r="B8" s="244" t="s">
        <v>27</v>
      </c>
      <c r="C8" s="517" t="s">
        <v>281</v>
      </c>
      <c r="D8" s="529" t="s">
        <v>370</v>
      </c>
      <c r="E8" s="525" t="s">
        <v>334</v>
      </c>
      <c r="F8" s="518" t="s">
        <v>27</v>
      </c>
      <c r="G8" s="518" t="s">
        <v>27</v>
      </c>
      <c r="H8" s="518" t="s">
        <v>27</v>
      </c>
      <c r="I8" s="518" t="s">
        <v>27</v>
      </c>
      <c r="J8" s="518" t="s">
        <v>27</v>
      </c>
      <c r="K8" s="518" t="s">
        <v>27</v>
      </c>
      <c r="L8" s="518" t="s">
        <v>27</v>
      </c>
      <c r="M8" s="521" t="s">
        <v>27</v>
      </c>
      <c r="N8" s="519">
        <f>+IF(WPF_Analiza!N9&lt;=Ostatni_rok_analizy,IF(WPF_Analiza!N9&lt;=2025,+ROUND(SUM(WPF_Analiza!J67,WPF_Analiza!K67,WPF_Analiza!M67)/3,4),0),0)</f>
        <v>0.20549999999999999</v>
      </c>
      <c r="O8" s="519">
        <f>+IF(WPF_Analiza!O9&lt;=Ostatni_rok_analizy,IF(WPF_Analiza!O9&lt;=2025,+ROUND(SUM(WPF_Analiza!K67,WPF_Analiza!M67,WPF_Analiza!N67)/3,4),0),0)</f>
        <v>0.1603</v>
      </c>
      <c r="P8" s="519">
        <f>+IF(WPF_Analiza!P9&lt;=Ostatni_rok_analizy,IF(WPF_Analiza!P9&lt;=2025,+ROUND(SUM(WPF_Analiza!M67,WPF_Analiza!N67,WPF_Analiza!O67)/3,4),0),0)</f>
        <v>0.13639999999999999</v>
      </c>
      <c r="Q8" s="519">
        <f>+IF(WPF_Analiza!Q9&lt;=Ostatni_rok_analizy,IF(WPF_Analiza!Q9&lt;=2025,+ROUND(SUM(WPF_Analiza!N67,WPF_Analiza!O67,WPF_Analiza!P67)/3,4),0),0)</f>
        <v>6.7900000000000002E-2</v>
      </c>
      <c r="R8" s="519">
        <f>+IF(WPF_Analiza!R9&lt;=Ostatni_rok_analizy,IF(WPF_Analiza!R9&lt;=2025,+ROUND(SUM(WPF_Analiza!O67,WPF_Analiza!P67,WPF_Analiza!Q67)/3,4),+ROUND(SUM(WPF_Analiza!J68,WPF_Analiza!K68,WPF_Analiza!M68,WPF_Analiza!N68,WPF_Analiza!O68,WPF_Analiza!P68,WPF_Analiza!Q68)/7,4)),0)</f>
        <v>0.11749999999999999</v>
      </c>
      <c r="S8" s="519">
        <f>+IF(WPF_Analiza!S9&lt;=Ostatni_rok_analizy,IF(WPF_Analiza!S9&lt;=2025,+ROUND(SUM(WPF_Analiza!P67,WPF_Analiza!Q67,WPF_Analiza!R67)/3,4),+ROUND(SUM(WPF_Analiza!K68,WPF_Analiza!M68,WPF_Analiza!N68,WPF_Analiza!O68,WPF_Analiza!P68,WPF_Analiza!Q68,WPF_Analiza!R68)/7,4)),0)</f>
        <v>0.10539999999999999</v>
      </c>
      <c r="T8" s="519">
        <f>+IF(WPF_Analiza!T9&lt;=Ostatni_rok_analizy,IF(WPF_Analiza!T9&lt;=2025,+ROUND(SUM(WPF_Analiza!Q67,WPF_Analiza!R67,WPF_Analiza!S67)/3,4),+ROUND(SUM(WPF_Analiza!M68,WPF_Analiza!N68,WPF_Analiza!O68,WPF_Analiza!P68,WPF_Analiza!Q68,WPF_Analiza!R68,WPF_Analiza!S68)/7,4)),0)</f>
        <v>0.1003</v>
      </c>
      <c r="U8" s="519">
        <f>+IF(WPF_Analiza!U9&lt;=Ostatni_rok_analizy,IF(WPF_Analiza!U9&lt;=2025,+ROUND(SUM(WPF_Analiza!R67,WPF_Analiza!S67,WPF_Analiza!T67)/3,4),+ROUND(SUM(WPF_Analiza!N68,WPF_Analiza!O68,WPF_Analiza!P68,WPF_Analiza!Q68,WPF_Analiza!R68,WPF_Analiza!S68,WPF_Analiza!T68)/7,4)),0)</f>
        <v>8.9300000000000004E-2</v>
      </c>
      <c r="V8" s="519">
        <f>+IF(WPF_Analiza!V9&lt;=Ostatni_rok_analizy,IF(WPF_Analiza!V9&lt;=2025,+ROUND(SUM(WPF_Analiza!S67,WPF_Analiza!T67,WPF_Analiza!U67)/3,4),+ROUND(SUM(WPF_Analiza!O68,WPF_Analiza!P68,WPF_Analiza!Q68,WPF_Analiza!R68,WPF_Analiza!S68,WPF_Analiza!T68,WPF_Analiza!U68)/7,4)),0)</f>
        <v>0.10050000000000001</v>
      </c>
      <c r="W8" s="519">
        <f>+IF(WPF_Analiza!W9&lt;=Ostatni_rok_analizy,IF(WPF_Analiza!W9&lt;=2025,+ROUND(SUM(WPF_Analiza!T67,WPF_Analiza!U67,WPF_Analiza!V67)/3,4),+ROUND(SUM(WPF_Analiza!P68,WPF_Analiza!Q68,WPF_Analiza!R68,WPF_Analiza!S68,WPF_Analiza!T68,WPF_Analiza!U68,WPF_Analiza!V68)/7,4)),0)</f>
        <v>0.1086</v>
      </c>
      <c r="X8" s="519">
        <f>+IF(WPF_Analiza!X9&lt;=Ostatni_rok_analizy,IF(WPF_Analiza!X9&lt;=2025,+ROUND(SUM(WPF_Analiza!U67,WPF_Analiza!V67,WPF_Analiza!W67)/3,4),+ROUND(SUM(WPF_Analiza!Q68,WPF_Analiza!R68,WPF_Analiza!S68,WPF_Analiza!T68,WPF_Analiza!U68,WPF_Analiza!V68,WPF_Analiza!W68)/7,4)),0)</f>
        <v>0.1174</v>
      </c>
      <c r="Y8" s="519">
        <f>+IF(WPF_Analiza!Y9&lt;=Ostatni_rok_analizy,IF(WPF_Analiza!Y9&lt;=2025,+ROUND(SUM(WPF_Analiza!V67,WPF_Analiza!W67,WPF_Analiza!X67)/3,4),+ROUND(SUM(WPF_Analiza!R68,WPF_Analiza!S68,WPF_Analiza!T68,WPF_Analiza!U68,WPF_Analiza!V68,WPF_Analiza!W68,WPF_Analiza!X68)/7,4)),0)</f>
        <v>0.12470000000000001</v>
      </c>
      <c r="Z8" s="519">
        <f>+IF(WPF_Analiza!Z9&lt;=Ostatni_rok_analizy,IF(WPF_Analiza!Z9&lt;=2025,+ROUND(SUM(WPF_Analiza!W67,WPF_Analiza!X67,WPF_Analiza!Y67)/3,4),+ROUND(SUM(WPF_Analiza!S68,WPF_Analiza!T68,WPF_Analiza!U68,WPF_Analiza!V68,WPF_Analiza!W68,WPF_Analiza!X68,WPF_Analiza!Y68)/7,4)),0)</f>
        <v>0</v>
      </c>
      <c r="AA8" s="519">
        <f>+IF(WPF_Analiza!AA9&lt;=Ostatni_rok_analizy,IF(WPF_Analiza!AA9&lt;=2025,+ROUND(SUM(WPF_Analiza!X67,WPF_Analiza!Y67,WPF_Analiza!Z67)/3,4),+ROUND(SUM(WPF_Analiza!T68,WPF_Analiza!U68,WPF_Analiza!V68,WPF_Analiza!W68,WPF_Analiza!X68,WPF_Analiza!Y68,WPF_Analiza!Z68)/7,4)),0)</f>
        <v>0</v>
      </c>
      <c r="AB8" s="519">
        <f>+IF(WPF_Analiza!AB9&lt;=Ostatni_rok_analizy,IF(WPF_Analiza!AB9&lt;=2025,+ROUND(SUM(WPF_Analiza!Y67,WPF_Analiza!Z67,WPF_Analiza!AA67)/3,4),+ROUND(SUM(WPF_Analiza!U68,WPF_Analiza!V68,WPF_Analiza!W68,WPF_Analiza!X68,WPF_Analiza!Y68,WPF_Analiza!Z68,WPF_Analiza!AA68)/7,4)),0)</f>
        <v>0</v>
      </c>
      <c r="AC8" s="519">
        <f>+IF(WPF_Analiza!AC9&lt;=Ostatni_rok_analizy,IF(WPF_Analiza!AC9&lt;=2025,+ROUND(SUM(WPF_Analiza!Z67,WPF_Analiza!AA67,WPF_Analiza!AB67)/3,4),+ROUND(SUM(WPF_Analiza!V68,WPF_Analiza!W68,WPF_Analiza!X68,WPF_Analiza!Y68,WPF_Analiza!Z68,WPF_Analiza!AA68,WPF_Analiza!AB68)/7,4)),0)</f>
        <v>0</v>
      </c>
      <c r="AD8" s="519">
        <f>+IF(WPF_Analiza!AD9&lt;=Ostatni_rok_analizy,IF(WPF_Analiza!AD9&lt;=2025,+ROUND(SUM(WPF_Analiza!AA67,WPF_Analiza!AB67,WPF_Analiza!AC67)/3,4),+ROUND(SUM(WPF_Analiza!W68,WPF_Analiza!X68,WPF_Analiza!Y68,WPF_Analiza!Z68,WPF_Analiza!AA68,WPF_Analiza!AB68,WPF_Analiza!AC68)/7,4)),0)</f>
        <v>0</v>
      </c>
      <c r="AE8" s="519">
        <f>+IF(WPF_Analiza!AE9&lt;=Ostatni_rok_analizy,IF(WPF_Analiza!AE9&lt;=2025,+ROUND(SUM(WPF_Analiza!AB67,WPF_Analiza!AC67,WPF_Analiza!AD67)/3,4),+ROUND(SUM(WPF_Analiza!X68,WPF_Analiza!Y68,WPF_Analiza!Z68,WPF_Analiza!AA68,WPF_Analiza!AB68,WPF_Analiza!AC68,WPF_Analiza!AD68)/7,4)),0)</f>
        <v>0</v>
      </c>
      <c r="AF8" s="519">
        <f>+IF(WPF_Analiza!AF9&lt;=Ostatni_rok_analizy,IF(WPF_Analiza!AF9&lt;=2025,+ROUND(SUM(WPF_Analiza!AC67,WPF_Analiza!AD67,WPF_Analiza!AE67)/3,4),+ROUND(SUM(WPF_Analiza!Y68,WPF_Analiza!Z68,WPF_Analiza!AA68,WPF_Analiza!AB68,WPF_Analiza!AC68,WPF_Analiza!AD68,WPF_Analiza!AE68)/7,4)),0)</f>
        <v>0</v>
      </c>
      <c r="AG8" s="519">
        <f>+IF(WPF_Analiza!AG9&lt;=Ostatni_rok_analizy,IF(WPF_Analiza!AG9&lt;=2025,+ROUND(SUM(WPF_Analiza!AD67,WPF_Analiza!AE67,WPF_Analiza!AF67)/3,4),+ROUND(SUM(WPF_Analiza!Z68,WPF_Analiza!AA68,WPF_Analiza!AB68,WPF_Analiza!AC68,WPF_Analiza!AD68,WPF_Analiza!AE68,WPF_Analiza!AF68)/7,4)),0)</f>
        <v>0</v>
      </c>
      <c r="AH8" s="519">
        <f>+IF(WPF_Analiza!AH9&lt;=Ostatni_rok_analizy,IF(WPF_Analiza!AH9&lt;=2025,+ROUND(SUM(WPF_Analiza!AE67,WPF_Analiza!AF67,WPF_Analiza!AG67)/3,4),+ROUND(SUM(WPF_Analiza!AA68,WPF_Analiza!AB68,WPF_Analiza!AC68,WPF_Analiza!AD68,WPF_Analiza!AE68,WPF_Analiza!AF68,WPF_Analiza!AG68)/7,4)),0)</f>
        <v>0</v>
      </c>
      <c r="AI8" s="519">
        <f>+IF(WPF_Analiza!AI9&lt;=Ostatni_rok_analizy,IF(WPF_Analiza!AI9&lt;=2025,+ROUND(SUM(WPF_Analiza!AF67,WPF_Analiza!AG67,WPF_Analiza!AH67)/3,4),+ROUND(SUM(WPF_Analiza!AB68,WPF_Analiza!AC68,WPF_Analiza!AD68,WPF_Analiza!AE68,WPF_Analiza!AF68,WPF_Analiza!AG68,WPF_Analiza!AH68)/7,4)),0)</f>
        <v>0</v>
      </c>
      <c r="AJ8" s="519">
        <f>+IF(WPF_Analiza!AJ9&lt;=Ostatni_rok_analizy,IF(WPF_Analiza!AJ9&lt;=2025,+ROUND(SUM(WPF_Analiza!AG67,WPF_Analiza!AH67,WPF_Analiza!AI67)/3,4),+ROUND(SUM(WPF_Analiza!AC68,WPF_Analiza!AD68,WPF_Analiza!AE68,WPF_Analiza!AF68,WPF_Analiza!AG68,WPF_Analiza!AH68,WPF_Analiza!AI68)/7,4)),0)</f>
        <v>0</v>
      </c>
      <c r="AK8" s="519">
        <f>+IF(WPF_Analiza!AK9&lt;=Ostatni_rok_analizy,IF(WPF_Analiza!AK9&lt;=2025,+ROUND(SUM(WPF_Analiza!AH67,WPF_Analiza!AI67,WPF_Analiza!AJ67)/3,4),+ROUND(SUM(WPF_Analiza!AD68,WPF_Analiza!AE68,WPF_Analiza!AF68,WPF_Analiza!AG68,WPF_Analiza!AH68,WPF_Analiza!AI68,WPF_Analiza!AJ68)/7,4)),0)</f>
        <v>0</v>
      </c>
      <c r="AL8" s="519">
        <f>+IF(WPF_Analiza!AL9&lt;=Ostatni_rok_analizy,IF(WPF_Analiza!AL9&lt;=2025,+ROUND(SUM(WPF_Analiza!AI67,WPF_Analiza!AJ67,WPF_Analiza!AK67)/3,4),+ROUND(SUM(WPF_Analiza!AE68,WPF_Analiza!AF68,WPF_Analiza!AG68,WPF_Analiza!AH68,WPF_Analiza!AI68,WPF_Analiza!AJ68,WPF_Analiza!AK68)/7,4)),0)</f>
        <v>0</v>
      </c>
      <c r="AM8" s="519">
        <f>+IF(WPF_Analiza!AM9&lt;=Ostatni_rok_analizy,IF(WPF_Analiza!AM9&lt;=2025,+ROUND(SUM(WPF_Analiza!AJ67,WPF_Analiza!AK67,WPF_Analiza!AL67)/3,4),+ROUND(SUM(WPF_Analiza!AF68,WPF_Analiza!AG68,WPF_Analiza!AH68,WPF_Analiza!AI68,WPF_Analiza!AJ68,WPF_Analiza!AK68,WPF_Analiza!AL68)/7,4)),0)</f>
        <v>0</v>
      </c>
      <c r="AN8" s="519">
        <f>+IF(WPF_Analiza!AN9&lt;=Ostatni_rok_analizy,IF(WPF_Analiza!AN9&lt;=2025,+ROUND(SUM(WPF_Analiza!AK67,WPF_Analiza!AL67,WPF_Analiza!AM67)/3,4),+ROUND(SUM(WPF_Analiza!AG68,WPF_Analiza!AH68,WPF_Analiza!AI68,WPF_Analiza!AJ68,WPF_Analiza!AK68,WPF_Analiza!AL68,WPF_Analiza!AM68)/7,4)),0)</f>
        <v>0</v>
      </c>
      <c r="AO8" s="519">
        <f>+IF(WPF_Analiza!AO9&lt;=Ostatni_rok_analizy,IF(WPF_Analiza!AO9&lt;=2025,+ROUND(SUM(WPF_Analiza!AL67,WPF_Analiza!AM67,WPF_Analiza!AN67)/3,4),+ROUND(SUM(WPF_Analiza!AH68,WPF_Analiza!AI68,WPF_Analiza!AJ68,WPF_Analiza!AK68,WPF_Analiza!AL68,WPF_Analiza!AM68,WPF_Analiza!AN68)/7,4)),0)</f>
        <v>0</v>
      </c>
      <c r="AP8" s="519">
        <f>+IF(WPF_Analiza!AP9&lt;=Ostatni_rok_analizy,IF(WPF_Analiza!AP9&lt;=2025,+ROUND(SUM(WPF_Analiza!AM67,WPF_Analiza!AN67,WPF_Analiza!AO67)/3,4),+ROUND(SUM(WPF_Analiza!AI68,WPF_Analiza!AJ68,WPF_Analiza!AK68,WPF_Analiza!AL68,WPF_Analiza!AM68,WPF_Analiza!AN68,WPF_Analiza!AO68)/7,4)),0)</f>
        <v>0</v>
      </c>
      <c r="AQ8" s="519">
        <f>+IF(WPF_Analiza!AQ9&lt;=Ostatni_rok_analizy,IF(WPF_Analiza!AQ9&lt;=2025,+ROUND(SUM(WPF_Analiza!AN67,WPF_Analiza!AO67,WPF_Analiza!AP67)/3,4),+ROUND(SUM(WPF_Analiza!AJ68,WPF_Analiza!AK68,WPF_Analiza!AL68,WPF_Analiza!AM68,WPF_Analiza!AN68,WPF_Analiza!AO68,WPF_Analiza!AP68)/7,4)),0)</f>
        <v>0</v>
      </c>
      <c r="AR8" s="519">
        <f>+IF(WPF_Analiza!AR9&lt;=Ostatni_rok_analizy,IF(WPF_Analiza!AR9&lt;=2025,+ROUND(SUM(WPF_Analiza!AO67,WPF_Analiza!AP67,WPF_Analiza!AQ67)/3,4),+ROUND(SUM(WPF_Analiza!AK68,WPF_Analiza!AL68,WPF_Analiza!AM68,WPF_Analiza!AN68,WPF_Analiza!AO68,WPF_Analiza!AP68,WPF_Analiza!AQ68)/7,4)),0)</f>
        <v>0</v>
      </c>
      <c r="AS8" s="519">
        <f>+IF(WPF_Analiza!AS9&lt;=Ostatni_rok_analizy,IF(WPF_Analiza!AS9&lt;=2025,+ROUND(SUM(WPF_Analiza!AP67,WPF_Analiza!AQ67,WPF_Analiza!AR67)/3,4),+ROUND(SUM(WPF_Analiza!AL68,WPF_Analiza!AM68,WPF_Analiza!AN68,WPF_Analiza!AO68,WPF_Analiza!AP68,WPF_Analiza!AQ68,WPF_Analiza!AR68)/7,4)),0)</f>
        <v>0</v>
      </c>
      <c r="AT8" s="519">
        <f>+IF(WPF_Analiza!AT9&lt;=Ostatni_rok_analizy,IF(WPF_Analiza!AT9&lt;=2025,+ROUND(SUM(WPF_Analiza!AQ67,WPF_Analiza!AR67,WPF_Analiza!AS67)/3,4),+ROUND(SUM(WPF_Analiza!AM68,WPF_Analiza!AN68,WPF_Analiza!AO68,WPF_Analiza!AP68,WPF_Analiza!AQ68,WPF_Analiza!AR68,WPF_Analiza!AS68)/7,4)),0)</f>
        <v>0</v>
      </c>
      <c r="AU8" s="519">
        <f>+IF(WPF_Analiza!AU9&lt;=Ostatni_rok_analizy,IF(WPF_Analiza!AU9&lt;=2025,+ROUND(SUM(WPF_Analiza!AR67,WPF_Analiza!AS67,WPF_Analiza!AT67)/3,4),+ROUND(SUM(WPF_Analiza!AN68,WPF_Analiza!AO68,WPF_Analiza!AP68,WPF_Analiza!AQ68,WPF_Analiza!AR68,WPF_Analiza!AS68,WPF_Analiza!AT68)/7,4)),0)</f>
        <v>0</v>
      </c>
      <c r="AV8" s="519">
        <f>+IF(WPF_Analiza!AV9&lt;=Ostatni_rok_analizy,IF(WPF_Analiza!AV9&lt;=2025,+ROUND(SUM(WPF_Analiza!AS67,WPF_Analiza!AT67,WPF_Analiza!AU67)/3,4),+ROUND(SUM(WPF_Analiza!AO68,WPF_Analiza!AP68,WPF_Analiza!AQ68,WPF_Analiza!AR68,WPF_Analiza!AS68,WPF_Analiza!AT68,WPF_Analiza!AU68)/7,4)),0)</f>
        <v>0</v>
      </c>
      <c r="AW8" s="519">
        <f>+IF(WPF_Analiza!AW9&lt;=Ostatni_rok_analizy,IF(WPF_Analiza!AW9&lt;=2025,+ROUND(SUM(WPF_Analiza!AT67,WPF_Analiza!AU67,WPF_Analiza!AV67)/3,4),+ROUND(SUM(WPF_Analiza!AP68,WPF_Analiza!AQ68,WPF_Analiza!AR68,WPF_Analiza!AS68,WPF_Analiza!AT68,WPF_Analiza!AU68,WPF_Analiza!AV68)/7,4)),0)</f>
        <v>0</v>
      </c>
      <c r="AX8" s="519">
        <f>+IF(WPF_Analiza!AX9&lt;=Ostatni_rok_analizy,IF(WPF_Analiza!AX9&lt;=2025,+ROUND(SUM(WPF_Analiza!AU67,WPF_Analiza!AV67,WPF_Analiza!AW67)/3,4),+ROUND(SUM(WPF_Analiza!AQ68,WPF_Analiza!AR68,WPF_Analiza!AS68,WPF_Analiza!AT68,WPF_Analiza!AU68,WPF_Analiza!AV68,WPF_Analiza!AW68)/7,4)),0)</f>
        <v>0</v>
      </c>
      <c r="AY8" s="519">
        <f>+IF(WPF_Analiza!AY9&lt;=Ostatni_rok_analizy,IF(WPF_Analiza!AY9&lt;=2025,+ROUND(SUM(WPF_Analiza!AV67,WPF_Analiza!AW67,WPF_Analiza!AX67)/3,4),+ROUND(SUM(WPF_Analiza!AR68,WPF_Analiza!AS68,WPF_Analiza!AT68,WPF_Analiza!AU68,WPF_Analiza!AV68,WPF_Analiza!AW68,WPF_Analiza!AX68)/7,4)),0)</f>
        <v>0</v>
      </c>
      <c r="AZ8" s="519">
        <f>+IF(WPF_Analiza!AZ9&lt;=Ostatni_rok_analizy,IF(WPF_Analiza!AZ9&lt;=2025,+ROUND(SUM(WPF_Analiza!AW67,WPF_Analiza!AX67,WPF_Analiza!AY67)/3,4),+ROUND(SUM(WPF_Analiza!AS68,WPF_Analiza!AT68,WPF_Analiza!AU68,WPF_Analiza!AV68,WPF_Analiza!AW68,WPF_Analiza!AX68,WPF_Analiza!AY68)/7,4)),0)</f>
        <v>0</v>
      </c>
      <c r="BA8" s="519">
        <f>+IF(WPF_Analiza!BA9&lt;=Ostatni_rok_analizy,IF(WPF_Analiza!BA9&lt;=2025,+ROUND(SUM(WPF_Analiza!AX67,WPF_Analiza!AY67,WPF_Analiza!AZ67)/3,4),+ROUND(SUM(WPF_Analiza!AT68,WPF_Analiza!AU68,WPF_Analiza!AV68,WPF_Analiza!AW68,WPF_Analiza!AX68,WPF_Analiza!AY68,WPF_Analiza!AZ68)/7,4)),0)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14</vt:i4>
      </vt:variant>
    </vt:vector>
  </HeadingPairs>
  <TitlesOfParts>
    <vt:vector size="24" baseType="lpstr">
      <vt:lpstr>definicja</vt:lpstr>
      <vt:lpstr>DaneZrodlowe</vt:lpstr>
      <vt:lpstr>DaneZrodloweDoWsk</vt:lpstr>
      <vt:lpstr>Instrukcja</vt:lpstr>
      <vt:lpstr>WPF_bazowy</vt:lpstr>
      <vt:lpstr>rysunki</vt:lpstr>
      <vt:lpstr>WPF_Analiza</vt:lpstr>
      <vt:lpstr>Symulacja</vt:lpstr>
      <vt:lpstr>ObliczSrednie</vt:lpstr>
      <vt:lpstr>Opis zmian</vt:lpstr>
      <vt:lpstr>do_importu</vt:lpstr>
      <vt:lpstr>IdRozp</vt:lpstr>
      <vt:lpstr>Instrukcja!Obszar_wydruku</vt:lpstr>
      <vt:lpstr>Symulacja!Obszar_wydruku</vt:lpstr>
      <vt:lpstr>WPF_Analiza!Obszar_wydruku</vt:lpstr>
      <vt:lpstr>WPF_bazowy!Obszar_wydruku</vt:lpstr>
      <vt:lpstr>Ostatni_rok_analizy</vt:lpstr>
      <vt:lpstr>RokBazowy</vt:lpstr>
      <vt:lpstr>RokMaxProg</vt:lpstr>
      <vt:lpstr>Srednia</vt:lpstr>
      <vt:lpstr>Symulacja!Tytuły_wydruku</vt:lpstr>
      <vt:lpstr>WPF_Analiza!Tytuły_wydruku</vt:lpstr>
      <vt:lpstr>WPF_bazowy!Tytuły_wydruku</vt:lpstr>
      <vt:lpstr>ver_raportu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Madzia</cp:lastModifiedBy>
  <cp:lastPrinted>2022-02-28T09:01:49Z</cp:lastPrinted>
  <dcterms:created xsi:type="dcterms:W3CDTF">2019-12-10T09:27:29Z</dcterms:created>
  <dcterms:modified xsi:type="dcterms:W3CDTF">2022-02-28T13:46:16Z</dcterms:modified>
</cp:coreProperties>
</file>